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activeTab="8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  <sheet name="Cuadro 13" sheetId="14" r:id="rId14"/>
    <sheet name="Cuadro 14" sheetId="15" r:id="rId15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<sst xmlns="http://schemas.openxmlformats.org/spreadsheetml/2006/main" count="479" uniqueCount="307">
  <si>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</si>
  <si>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</si>
  <si>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</si>
  <si>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</si>
  <si>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</si>
  <si>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</si>
  <si>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</si>
  <si>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</si>
  <si>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</si>
  <si>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</si>
  <si>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</si>
  <si>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</si>
  <si>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</si>
  <si>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</si>
  <si>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</si>
  <si>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</si>
  <si>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</si>
  <si>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</si>
  <si>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</si>
  <si>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</si>
  <si>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</si>
  <si>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</si>
  <si>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</si>
  <si>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</si>
  <si>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</si>
  <si>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</si>
  <si>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</si>
  <si>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</si>
  <si>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</si>
  <si>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</si>
  <si>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</si>
  <si>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</si>
  <si>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</si>
  <si>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</si>
  <si>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</si>
  <si>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</si>
  <si>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</si>
  <si>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</si>
  <si>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</si>
  <si>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</si>
  <si>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</si>
  <si>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</si>
  <si>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</si>
  <si>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</si>
  <si>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</si>
  <si>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</si>
  <si>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</si>
  <si>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</si>
  <si>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</si>
  <si>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</si>
  <si>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</si>
  <si>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</si>
  <si>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</si>
  <si>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</si>
  <si>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</si>
  <si>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</si>
  <si>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</si>
  <si>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</si>
  <si>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</si>
  <si>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</si>
  <si>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</si>
  <si>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</si>
  <si>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</si>
  <si>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</si>
  <si>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</si>
  <si>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</si>
  <si>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</si>
  <si>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</si>
  <si>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</si>
  <si>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</si>
  <si>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</si>
  <si>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</si>
  <si>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</si>
  <si>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</si>
  <si>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</si>
  <si>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</si>
  <si>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</si>
  <si>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</si>
  <si>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</si>
  <si>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</si>
  <si>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</si>
  <si>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</si>
  <si>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</si>
  <si>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</si>
  <si>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</si>
  <si>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</si>
  <si>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</si>
  <si>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</si>
  <si>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</si>
  <si>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</si>
  <si>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</si>
  <si>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</si>
  <si>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</si>
  <si>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</si>
  <si>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</si>
  <si>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</si>
  <si>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</si>
  <si>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</si>
  <si>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</si>
  <si>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</si>
  <si>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</si>
  <si>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</si>
  <si>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</si>
  <si>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</si>
  <si>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</si>
  <si>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</si>
  <si>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</si>
  <si>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</si>
  <si>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</si>
  <si>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</si>
  <si>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</si>
  <si>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</si>
  <si>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</si>
  <si>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</si>
  <si>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</si>
  <si>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</si>
  <si>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</si>
  <si>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</si>
  <si>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</si>
  <si>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</si>
  <si>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</si>
  <si>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</si>
  <si>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</si>
  <si>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</si>
  <si>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</si>
  <si>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</si>
  <si>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</si>
  <si>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</si>
  <si>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</si>
  <si>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</si>
  <si>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</si>
  <si>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</si>
  <si>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</si>
  <si>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</si>
  <si>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</si>
  <si>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</si>
  <si>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</si>
  <si>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</si>
  <si>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</si>
  <si>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</si>
  <si>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</si>
  <si>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</si>
  <si>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</si>
  <si>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</si>
  <si>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</si>
  <si>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</si>
  <si>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</si>
  <si>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</si>
  <si>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</si>
  <si>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</si>
  <si>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</si>
  <si>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</si>
  <si>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</si>
  <si>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</si>
  <si>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</si>
  <si>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</si>
  <si>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</si>
  <si>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</si>
  <si>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</si>
  <si>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</si>
  <si>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</si>
  <si>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</si>
  <si>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</si>
  <si>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</si>
  <si>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</si>
  <si>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</si>
  <si>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</si>
  <si>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</si>
  <si>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</si>
  <si>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</si>
  <si>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</si>
  <si>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</si>
  <si>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</si>
  <si>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</si>
  <si>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</si>
  <si>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</si>
  <si>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</si>
  <si>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</si>
  <si>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</si>
  <si>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</si>
  <si>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</si>
  <si>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</si>
  <si>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</si>
  <si>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</si>
  <si>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</si>
  <si>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</si>
  <si>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</si>
  <si>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</si>
  <si>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</si>
  <si>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</si>
  <si>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</si>
  <si>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</si>
  <si>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</si>
  <si>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</si>
  <si>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</si>
  <si>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</si>
  <si>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</si>
  <si>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</si>
  <si>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</si>
  <si>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</si>
  <si>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</si>
  <si>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</si>
  <si>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</si>
  <si>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</si>
  <si>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</si>
  <si>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</si>
  <si>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</si>
  <si>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</si>
  <si>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</si>
  <si>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</si>
  <si>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</si>
  <si>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</si>
  <si>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</si>
  <si>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</si>
  <si>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</si>
  <si>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</si>
  <si>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</si>
  <si>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</si>
  <si>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</si>
  <si>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</si>
  <si>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</si>
  <si>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</si>
  <si>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</si>
  <si>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</si>
  <si>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</si>
  <si>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</si>
  <si>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</si>
  <si>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</si>
  <si>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</si>
  <si>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</si>
  <si>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</si>
  <si>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</si>
  <si>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</si>
  <si>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</si>
  <si>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</si>
  <si>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</si>
  <si>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</si>
  <si>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</si>
  <si>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</si>
  <si>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</si>
  <si>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</si>
  <si>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</si>
  <si>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</si>
  <si>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</si>
  <si>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</si>
  <si>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</si>
  <si>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</si>
  <si>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</si>
  <si>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</si>
  <si>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</si>
  <si>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</si>
  <si>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</si>
  <si>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</si>
  <si>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</si>
  <si>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</si>
  <si>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</si>
  <si>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</si>
  <si>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</si>
  <si>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</si>
  <si>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</si>
  <si>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</si>
  <si>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</si>
  <si>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</si>
  <si>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</si>
  <si>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</si>
  <si>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</si>
  <si>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</si>
  <si>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</si>
  <si>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</si>
  <si>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</si>
  <si>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</si>
  <si>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</si>
  <si>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</si>
  <si>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SENSIBILIDAD</t>
  </si>
  <si>
    <t>VALOR PRESENTE NETO</t>
  </si>
  <si>
    <t>VPN=</t>
  </si>
  <si>
    <t>FNC= FLUJO NETO DE CAJA</t>
  </si>
  <si>
    <t>K= TASA DE INTERES PERIODICA</t>
  </si>
  <si>
    <t>N= NUMERO DE PERIODOS CONSIDERADOS EN EL PROYECTO</t>
  </si>
  <si>
    <t>(FNC / (1+K) + FNC2 / (1+K)^2 + …..FNCn / (1+K)^n)-1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</si>
  <si>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</si>
  <si>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</si>
  <si>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</si>
  <si>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</si>
  <si>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</si>
  <si>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</si>
  <si>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</si>
  <si>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</si>
  <si>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</si>
  <si>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</si>
  <si>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K</t>
  </si>
  <si>
    <t>VPN</t>
  </si>
  <si>
    <t>TASA INTERNA DE RETORNO</t>
  </si>
  <si>
    <t xml:space="preserve">DESCUENTO DE PRECIOS DE 10% DE VALOR PROYECTADO </t>
  </si>
  <si>
    <t>VENTAS</t>
  </si>
  <si>
    <t>DEPRECIACIÓN</t>
  </si>
  <si>
    <t>TOTAL COSTOS</t>
  </si>
  <si>
    <t>PAGO DE INTERESES</t>
  </si>
  <si>
    <t>TASA DE DESCUENTO</t>
  </si>
  <si>
    <t xml:space="preserve">DESCUENTO DE PRECIOS DE 20% DE VALOR PROYECTADO </t>
  </si>
  <si>
    <t>TIR</t>
  </si>
  <si>
    <t>RENTABILIDAD (FNC)</t>
  </si>
  <si>
    <t xml:space="preserve">TIR≥TASA DE DESCUENTO IMPLICA QUE EL PROYECTO ES FACTIBLE, tomado en cosideración descuentos de precios entre un 20% a 25% </t>
  </si>
  <si>
    <t>CUADRO 8</t>
  </si>
  <si>
    <t>INGRESOS</t>
  </si>
  <si>
    <t>CUADRO 9: GASTOS DE FABRICACIÓN</t>
  </si>
  <si>
    <t>CUADRO 10: ESTADO DE RESULTADOS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</si>
</sst>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8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0" borderId="39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11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1" borderId="38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11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D15">
      <selection activeCell="O32" sqref="O3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20"/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87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88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7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7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B9">
      <selection activeCell="F46" sqref="F46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20" t="s">
        <v>86</v>
      </c>
      <c r="C2" s="220"/>
      <c r="D2" s="220"/>
      <c r="E2" s="220"/>
      <c r="F2" s="220"/>
      <c r="G2" s="220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21" t="s">
        <v>303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3"/>
    </row>
    <row r="10" spans="2:13" ht="13.5" thickBot="1">
      <c r="B10" s="224" t="s">
        <v>304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B1">
      <selection activeCell="G16" sqref="G16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spans="3:6" ht="12.75">
      <c r="C1" s="249" t="s">
        <v>305</v>
      </c>
      <c r="D1" s="249"/>
      <c r="E1" s="249"/>
      <c r="F1" s="249"/>
    </row>
    <row r="2" ht="13.5" thickBot="1"/>
    <row r="3" spans="2:9" ht="13.5" thickBot="1">
      <c r="B3" s="227" t="s">
        <v>194</v>
      </c>
      <c r="C3" s="228"/>
      <c r="D3" s="228"/>
      <c r="E3" s="229"/>
      <c r="G3" s="227" t="s">
        <v>195</v>
      </c>
      <c r="H3" s="228"/>
      <c r="I3" s="229"/>
    </row>
    <row r="4" spans="2:9" ht="38.25">
      <c r="B4" s="116" t="s">
        <v>39</v>
      </c>
      <c r="C4" s="116" t="s">
        <v>23</v>
      </c>
      <c r="D4" s="116" t="s">
        <v>40</v>
      </c>
      <c r="E4" s="116" t="s">
        <v>41</v>
      </c>
      <c r="G4" s="116" t="s">
        <v>32</v>
      </c>
      <c r="H4" s="116" t="s">
        <v>33</v>
      </c>
      <c r="I4" s="116" t="s">
        <v>34</v>
      </c>
    </row>
    <row r="5" spans="2:9" ht="25.5">
      <c r="B5" s="24" t="s">
        <v>42</v>
      </c>
      <c r="C5" s="16"/>
      <c r="D5" s="152"/>
      <c r="E5" s="16">
        <f>+'Cuadro 6'!L5+'Cuadro 6'!L9+'Cuadro 6'!L12+'Cuadro 6'!L13+'Cuadro 6'!L10+'Cuadro 6'!L11</f>
        <v>37879986.51527777</v>
      </c>
      <c r="G5" s="24" t="s">
        <v>35</v>
      </c>
      <c r="H5" s="22">
        <f>+'Cuadro 7'!H26</f>
        <v>556255526.4</v>
      </c>
      <c r="I5" s="22">
        <f>16555*20*70%*2400*12</f>
        <v>6674975999.999998</v>
      </c>
    </row>
    <row r="6" spans="2:9" ht="38.25">
      <c r="B6" s="24" t="s">
        <v>43</v>
      </c>
      <c r="C6" s="16"/>
      <c r="D6" s="152">
        <f>+'Cuadro 6'!L4+'Cuadro 6'!L6+'Cuadro 6'!L7+'Cuadro 6'!L8</f>
        <v>12925600.000000002</v>
      </c>
      <c r="E6" s="16"/>
      <c r="G6" s="24" t="s">
        <v>36</v>
      </c>
      <c r="H6" s="22">
        <f>+'Cuadro 7'!H27</f>
        <v>162987955.2</v>
      </c>
      <c r="I6" s="22">
        <f>16978*20*20%*2400*12</f>
        <v>1955865600</v>
      </c>
    </row>
    <row r="7" spans="2:9" ht="38.25">
      <c r="B7" s="24" t="s">
        <v>44</v>
      </c>
      <c r="C7" s="16">
        <f>3500*1200</f>
        <v>4200000</v>
      </c>
      <c r="D7" s="152">
        <f>5%*C7</f>
        <v>210000</v>
      </c>
      <c r="E7" s="16">
        <f>+C7*95%</f>
        <v>3990000</v>
      </c>
      <c r="G7" s="24" t="s">
        <v>37</v>
      </c>
      <c r="H7" s="22">
        <f>+'Cuadro 7'!H28</f>
        <v>82199001.60000001</v>
      </c>
      <c r="I7" s="22">
        <f>17125*20*10%*2400*12</f>
        <v>986400000</v>
      </c>
    </row>
    <row r="8" spans="2:9" ht="12.75">
      <c r="B8" s="24" t="s">
        <v>45</v>
      </c>
      <c r="C8" s="16">
        <v>600000</v>
      </c>
      <c r="D8" s="152">
        <f>+C8</f>
        <v>600000</v>
      </c>
      <c r="E8" s="16"/>
      <c r="G8" s="25" t="s">
        <v>38</v>
      </c>
      <c r="H8" s="26">
        <f>SUM(H5:H7)</f>
        <v>801442483.1999999</v>
      </c>
      <c r="I8" s="26">
        <f>SUM(I5:I7)</f>
        <v>9617241599.999998</v>
      </c>
    </row>
    <row r="9" spans="2:5" ht="12.75">
      <c r="B9" s="24" t="s">
        <v>46</v>
      </c>
      <c r="C9" s="16"/>
      <c r="D9" s="152"/>
      <c r="E9" s="16">
        <v>40000</v>
      </c>
    </row>
    <row r="10" spans="2:5" ht="12.75">
      <c r="B10" s="24" t="s">
        <v>47</v>
      </c>
      <c r="C10" s="16">
        <v>300000</v>
      </c>
      <c r="D10" s="152">
        <f>+C10*5%</f>
        <v>15000</v>
      </c>
      <c r="E10" s="16">
        <f>+C10*95%</f>
        <v>285000</v>
      </c>
    </row>
    <row r="11" spans="2:5" ht="25.5">
      <c r="B11" s="24" t="s">
        <v>48</v>
      </c>
      <c r="C11" s="16">
        <v>200000</v>
      </c>
      <c r="D11" s="152"/>
      <c r="E11" s="16">
        <f>+C11</f>
        <v>200000</v>
      </c>
    </row>
    <row r="12" spans="2:5" ht="12.75">
      <c r="B12" s="24" t="s">
        <v>49</v>
      </c>
      <c r="C12" s="16">
        <f>+'Cuadro 8'!D30*0.14%</f>
        <v>14738496.03072</v>
      </c>
      <c r="D12" s="152">
        <f>+C12</f>
        <v>14738496.03072</v>
      </c>
      <c r="E12" s="16"/>
    </row>
    <row r="13" spans="2:5" ht="12.75">
      <c r="B13" s="24" t="s">
        <v>74</v>
      </c>
      <c r="C13" s="16">
        <v>200000</v>
      </c>
      <c r="D13" s="152"/>
      <c r="E13" s="16">
        <f>+C13</f>
        <v>200000</v>
      </c>
    </row>
    <row r="14" spans="2:7" ht="12.75">
      <c r="B14" s="24" t="s">
        <v>75</v>
      </c>
      <c r="C14" s="16">
        <v>600000</v>
      </c>
      <c r="D14" s="152"/>
      <c r="E14" s="16">
        <f>+C14</f>
        <v>600000</v>
      </c>
      <c r="G14" s="169"/>
    </row>
    <row r="15" spans="2:5" ht="12.75">
      <c r="B15" s="24" t="s">
        <v>76</v>
      </c>
      <c r="C15" s="16">
        <v>500000</v>
      </c>
      <c r="D15" s="152"/>
      <c r="E15" s="16">
        <v>1000000</v>
      </c>
    </row>
    <row r="16" spans="2:5" ht="12.75">
      <c r="B16" s="24" t="s">
        <v>77</v>
      </c>
      <c r="C16" s="16">
        <v>500000</v>
      </c>
      <c r="D16" s="152">
        <f>+C16</f>
        <v>500000</v>
      </c>
      <c r="E16" s="16"/>
    </row>
    <row r="17" spans="2:5" ht="12.75">
      <c r="B17" s="127" t="s">
        <v>50</v>
      </c>
      <c r="C17" s="16"/>
      <c r="D17" s="153">
        <f>SUM(D5:D16)</f>
        <v>28989096.030720003</v>
      </c>
      <c r="E17" s="16"/>
    </row>
    <row r="18" spans="2:5" ht="12.75">
      <c r="B18" s="127" t="s">
        <v>51</v>
      </c>
      <c r="C18" s="16"/>
      <c r="D18" s="154"/>
      <c r="E18" s="17">
        <f>SUM(E5:E16)</f>
        <v>44194986.51527777</v>
      </c>
    </row>
    <row r="19" spans="2:5" ht="12.75">
      <c r="B19" s="25" t="s">
        <v>85</v>
      </c>
      <c r="C19" s="26">
        <f>+D17+E18</f>
        <v>73184082.54599777</v>
      </c>
      <c r="D19" s="155">
        <f>C19*12</f>
        <v>878208990.5519732</v>
      </c>
      <c r="E19" s="26"/>
    </row>
    <row r="20" spans="3:4" ht="12.75">
      <c r="C20" s="134" t="s">
        <v>211</v>
      </c>
      <c r="D20" s="156" t="s">
        <v>212</v>
      </c>
    </row>
  </sheetData>
  <mergeCells count="3">
    <mergeCell ref="B3:E3"/>
    <mergeCell ref="G3:I3"/>
    <mergeCell ref="C1:F1"/>
  </mergeCells>
  <printOptions/>
  <pageMargins left="0.75" right="0.75" top="1" bottom="1" header="0" footer="0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A4" sqref="A4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306</v>
      </c>
      <c r="B3" s="250"/>
      <c r="C3" s="250"/>
      <c r="D3" s="250"/>
      <c r="E3" s="250"/>
      <c r="F3" s="250"/>
      <c r="G3" s="250"/>
      <c r="H3" s="250"/>
      <c r="I3" s="250"/>
      <c r="J3" s="250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9'!$I$8*'Cuadro 1'!D19+'Cuadro 9'!$E$18*12</f>
        <v>7935615870.183332</v>
      </c>
      <c r="C11" s="3">
        <f>+'Cuadro 9'!$I$8+'Cuadro 9'!$E$18*12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242609729.96343327</v>
      </c>
      <c r="C23" s="3">
        <f>+'Cuadro 4'!E39+'Cuadro 4'!E49</f>
        <v>242609729.96343327</v>
      </c>
      <c r="D23" s="3">
        <f>+'Cuadro 4'!F39+'Cuadro 4'!F49</f>
        <v>242609729.96343327</v>
      </c>
      <c r="E23" s="3">
        <f>+'Cuadro 4'!G39+'Cuadro 4'!G49</f>
        <v>242609729.96343327</v>
      </c>
      <c r="F23" s="3">
        <f>+'Cuadro 4'!H39+'Cuadro 4'!H49</f>
        <v>242609729.96343327</v>
      </c>
      <c r="G23" s="3">
        <f>+'Cuadro 4'!I39+'Cuadro 4'!I49</f>
        <v>63510109.09090909</v>
      </c>
      <c r="H23" s="3">
        <f>+'Cuadro 4'!J39+'Cuadro 4'!J49</f>
        <v>63510109.09090909</v>
      </c>
      <c r="I23" s="3">
        <f>+'Cuadro 4'!K39+'Cuadro 4'!K49</f>
        <v>63510109.09090909</v>
      </c>
      <c r="J23" s="3">
        <f>+'Cuadro 4'!L39+'Cuadro 4'!L49</f>
        <v>63510109.09090909</v>
      </c>
      <c r="K23" s="3">
        <f>+'Cuadro 4'!M39+'Cuadro 4'!M49</f>
        <v>63510109.09090909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2260695564.6532316</v>
      </c>
      <c r="C25" s="5">
        <f aca="true" t="shared" si="4" ref="C25:K25">+C17-C21-C23</f>
        <v>4697235238.253234</v>
      </c>
      <c r="D25" s="5">
        <f t="shared" si="4"/>
        <v>5148885730.375236</v>
      </c>
      <c r="E25" s="5">
        <f t="shared" si="4"/>
        <v>5638040678.904836</v>
      </c>
      <c r="F25" s="5">
        <f t="shared" si="4"/>
        <v>6167364322.319776</v>
      </c>
      <c r="G25" s="5">
        <f t="shared" si="4"/>
        <v>6919938235.995612</v>
      </c>
      <c r="H25" s="5">
        <f t="shared" si="4"/>
        <v>7538054755.4535475</v>
      </c>
      <c r="I25" s="5">
        <f t="shared" si="4"/>
        <v>8205003193.031669</v>
      </c>
      <c r="J25" s="5">
        <f t="shared" si="4"/>
        <v>8923855751.840765</v>
      </c>
      <c r="K25" s="5">
        <f t="shared" si="4"/>
        <v>9697746660.387938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9'!D17*12</f>
        <v>347869152.36864007</v>
      </c>
      <c r="C31" s="1">
        <f>+B31*$B$46+B31</f>
        <v>389613450.65287685</v>
      </c>
      <c r="D31" s="1">
        <f aca="true" t="shared" si="6" ref="D31:K31">+C31*$B$46+C31</f>
        <v>436367064.7312221</v>
      </c>
      <c r="E31" s="1">
        <f t="shared" si="6"/>
        <v>488731112.4989687</v>
      </c>
      <c r="F31" s="1">
        <f t="shared" si="6"/>
        <v>547378845.998845</v>
      </c>
      <c r="G31" s="1">
        <f t="shared" si="6"/>
        <v>613064307.5187063</v>
      </c>
      <c r="H31" s="1">
        <f t="shared" si="6"/>
        <v>686632024.4209511</v>
      </c>
      <c r="I31" s="1">
        <f t="shared" si="6"/>
        <v>769027867.3514652</v>
      </c>
      <c r="J31" s="1">
        <f t="shared" si="6"/>
        <v>861311211.4336411</v>
      </c>
      <c r="K31" s="1">
        <f t="shared" si="6"/>
        <v>964668556.805678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0.04042989369118734</v>
      </c>
      <c r="C33" s="13">
        <f t="shared" si="7"/>
        <v>0.0356132046652452</v>
      </c>
      <c r="D33" s="13">
        <f t="shared" si="7"/>
        <v>0.03566377407664382</v>
      </c>
      <c r="E33" s="13">
        <f t="shared" si="7"/>
        <v>0.03571479906832529</v>
      </c>
      <c r="F33" s="13">
        <f t="shared" si="7"/>
        <v>0.0357662837446165</v>
      </c>
      <c r="G33" s="13">
        <f t="shared" si="7"/>
        <v>0.03581823224682026</v>
      </c>
      <c r="H33" s="13">
        <f t="shared" si="7"/>
        <v>0.03587064875354837</v>
      </c>
      <c r="I33" s="13">
        <f t="shared" si="7"/>
        <v>0.03592353748105781</v>
      </c>
      <c r="J33" s="13">
        <f t="shared" si="7"/>
        <v>0.03597690268358987</v>
      </c>
      <c r="K33" s="13">
        <f>K35/K9</f>
        <v>0.0360307486537123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425625591.20714</v>
      </c>
      <c r="C35" s="3">
        <f t="shared" si="8"/>
        <v>540466079.6993768</v>
      </c>
      <c r="D35" s="3">
        <f t="shared" si="8"/>
        <v>600769208.5413822</v>
      </c>
      <c r="E35" s="3">
        <f t="shared" si="8"/>
        <v>667807904.7650168</v>
      </c>
      <c r="F35" s="3">
        <f t="shared" si="8"/>
        <v>742335347.5673412</v>
      </c>
      <c r="G35" s="3">
        <f t="shared" si="8"/>
        <v>825189037.8713019</v>
      </c>
      <c r="H35" s="3">
        <f t="shared" si="8"/>
        <v>917300250.3572848</v>
      </c>
      <c r="I35" s="3">
        <f t="shared" si="8"/>
        <v>1019704546.4151425</v>
      </c>
      <c r="J35" s="3">
        <f t="shared" si="8"/>
        <v>1133553467.2615914</v>
      </c>
      <c r="K35" s="3">
        <f>SUM(K29+K31)</f>
        <v>1260127539.8900435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1835069973.4460917</v>
      </c>
      <c r="C38" s="133">
        <f aca="true" t="shared" si="9" ref="C38:J38">C25-C35</f>
        <v>4156769158.553857</v>
      </c>
      <c r="D38" s="133">
        <f t="shared" si="9"/>
        <v>4548116521.833854</v>
      </c>
      <c r="E38" s="133">
        <f t="shared" si="9"/>
        <v>4970232774.139819</v>
      </c>
      <c r="F38" s="133">
        <f t="shared" si="9"/>
        <v>5425028974.752435</v>
      </c>
      <c r="G38" s="133">
        <f t="shared" si="9"/>
        <v>6094749198.1243105</v>
      </c>
      <c r="H38" s="133">
        <f t="shared" si="9"/>
        <v>6620754505.096263</v>
      </c>
      <c r="I38" s="133">
        <f t="shared" si="9"/>
        <v>7185298646.616526</v>
      </c>
      <c r="J38" s="133">
        <f t="shared" si="9"/>
        <v>7790302284.579174</v>
      </c>
      <c r="K38" s="133">
        <f>K25-K35</f>
        <v>8437619120.497894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0.17431208431780704</v>
      </c>
      <c r="C40" s="32">
        <f t="shared" si="10"/>
        <v>0.2739040919498584</v>
      </c>
      <c r="D40" s="32">
        <f t="shared" si="10"/>
        <v>0.2699921996713997</v>
      </c>
      <c r="E40" s="32">
        <f t="shared" si="10"/>
        <v>0.2658112663606008</v>
      </c>
      <c r="F40" s="32">
        <f t="shared" si="10"/>
        <v>0.2613820374708208</v>
      </c>
      <c r="G40" s="32">
        <f t="shared" si="10"/>
        <v>0.26454925143902003</v>
      </c>
      <c r="H40" s="32">
        <f t="shared" si="10"/>
        <v>0.2589018799932512</v>
      </c>
      <c r="I40" s="32">
        <f t="shared" si="10"/>
        <v>0.2531334651314149</v>
      </c>
      <c r="J40" s="32">
        <f t="shared" si="10"/>
        <v>0.2472498697790797</v>
      </c>
      <c r="K40" s="32">
        <f>K38/K9</f>
        <v>0.24125632060461463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B21" sqref="B21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3" spans="1:10" ht="12.75">
      <c r="A3" s="250" t="s">
        <v>272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2:4" ht="12.75">
      <c r="B4" s="220" t="s">
        <v>205</v>
      </c>
      <c r="C4" s="220"/>
      <c r="D4" s="220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9'!D19</f>
        <v>878208990.5519732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9'!I5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0.18027764583892414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9'!I6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0.16245679468473956</v>
      </c>
      <c r="K12" s="9"/>
    </row>
    <row r="13" spans="1:11" ht="12.75">
      <c r="A13" s="28" t="s">
        <v>266</v>
      </c>
      <c r="C13" s="19">
        <f>+'Cuadro 1'!$D$19*'Cuadro 9'!I7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0.15626373293612225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5038141755.8567915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2">
    <mergeCell ref="A3:J3"/>
    <mergeCell ref="B4:D4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B35" sqref="B35"/>
    </sheetView>
  </sheetViews>
  <sheetFormatPr defaultColWidth="11.421875" defaultRowHeight="12.75"/>
  <cols>
    <col min="1" max="1" width="21.7109375" style="0" customWidth="1"/>
    <col min="2" max="3" width="19.8515625" style="0" bestFit="1" customWidth="1"/>
    <col min="4" max="11" width="19.28125" style="0" bestFit="1" customWidth="1"/>
  </cols>
  <sheetData>
    <row r="3" spans="3:8" ht="12.75">
      <c r="C3" s="251" t="s">
        <v>274</v>
      </c>
      <c r="D3" s="251"/>
      <c r="E3" s="251"/>
      <c r="F3" s="251"/>
      <c r="G3" s="251"/>
      <c r="H3" s="251"/>
    </row>
    <row r="7" spans="2:3" ht="12.75">
      <c r="B7" s="214" t="s">
        <v>275</v>
      </c>
      <c r="C7" t="s">
        <v>279</v>
      </c>
    </row>
    <row r="9" ht="12.75">
      <c r="B9" t="s">
        <v>276</v>
      </c>
    </row>
    <row r="10" ht="12.75">
      <c r="B10" t="s">
        <v>277</v>
      </c>
    </row>
    <row r="11" ht="12.75">
      <c r="B11" t="s">
        <v>278</v>
      </c>
    </row>
    <row r="13" ht="12.75">
      <c r="B13" s="44" t="s">
        <v>293</v>
      </c>
    </row>
    <row r="15" spans="2:11" ht="12.75">
      <c r="B15" s="27" t="s">
        <v>280</v>
      </c>
      <c r="C15" s="27" t="s">
        <v>281</v>
      </c>
      <c r="D15" s="27" t="s">
        <v>282</v>
      </c>
      <c r="E15" s="27" t="s">
        <v>283</v>
      </c>
      <c r="F15" s="27" t="s">
        <v>284</v>
      </c>
      <c r="G15" s="27" t="s">
        <v>285</v>
      </c>
      <c r="H15" s="27" t="s">
        <v>286</v>
      </c>
      <c r="I15" s="27" t="s">
        <v>287</v>
      </c>
      <c r="J15" s="27" t="s">
        <v>288</v>
      </c>
      <c r="K15" s="27" t="s">
        <v>289</v>
      </c>
    </row>
    <row r="16" spans="1:11" ht="12.75">
      <c r="A16" s="217" t="s">
        <v>294</v>
      </c>
      <c r="B16" s="16">
        <f>+'Cuadro 10'!$B$9-'Cuadro 10'!$B$9*B22</f>
        <v>8421997731.839998</v>
      </c>
      <c r="C16" s="16">
        <f>+'Cuadro 10'!C9-'Cuadro 10'!C9*C22</f>
        <v>12140801925.119999</v>
      </c>
      <c r="D16" s="16">
        <f>+'Cuadro 10'!D9-'Cuadro 10'!D9*D22</f>
        <v>13476290136.883198</v>
      </c>
      <c r="E16" s="16">
        <f>+'Cuadro 10'!E9-'Cuadro 10'!E9*E22</f>
        <v>14958682051.94035</v>
      </c>
      <c r="F16" s="16">
        <f>+'Cuadro 10'!F9-'Cuadro 10'!F9*F22</f>
        <v>16604137077.65379</v>
      </c>
      <c r="G16" s="16">
        <f>+'Cuadro 10'!G9-'Cuadro 10'!G9*G22</f>
        <v>18430592156.195705</v>
      </c>
      <c r="H16" s="16">
        <f>+'Cuadro 10'!H9-'Cuadro 10'!H9*H22</f>
        <v>20457957293.377235</v>
      </c>
      <c r="I16" s="16">
        <f>+'Cuadro 10'!I9-'Cuadro 10'!I9*I22</f>
        <v>22708332595.64873</v>
      </c>
      <c r="J16" s="16">
        <f>+'Cuadro 10'!J9-'Cuadro 10'!J9*J22</f>
        <v>25206249181.17009</v>
      </c>
      <c r="K16" s="16">
        <f>+'Cuadro 10'!K9-'Cuadro 10'!K9*K22</f>
        <v>27978936591.098797</v>
      </c>
    </row>
    <row r="17" spans="1:11" ht="12.75">
      <c r="A17" s="217" t="s">
        <v>296</v>
      </c>
      <c r="B17" s="16">
        <f>+'Cuadro 10'!$B$13+'Cuadro 10'!$B$35</f>
        <v>8361241461.390472</v>
      </c>
      <c r="C17" s="16">
        <f>+'Cuadro 10'!C13+'Cuadro 10'!C35</f>
        <v>10688047517.882708</v>
      </c>
      <c r="D17" s="16">
        <f>+'Cuadro 10'!D13+'Cuadro 10'!D35</f>
        <v>11966060419.306711</v>
      </c>
      <c r="E17" s="16">
        <f>+'Cuadro 10'!E13+'Cuadro 10'!E35</f>
        <v>13396934060.822186</v>
      </c>
      <c r="F17" s="16">
        <f>+'Cuadro 10'!F13+'Cuadro 10'!F35</f>
        <v>14998956642.35137</v>
      </c>
      <c r="G17" s="16">
        <f>+'Cuadro 10'!G13+'Cuadro 10'!G35</f>
        <v>16792604888.029413</v>
      </c>
      <c r="H17" s="16">
        <f>+'Cuadro 10'!H13+'Cuadro 10'!H35</f>
        <v>18800806002.53437</v>
      </c>
      <c r="I17" s="16">
        <f>+'Cuadro 10'!I13+'Cuadro 10'!I35</f>
        <v>21049230988.853477</v>
      </c>
      <c r="J17" s="16">
        <f>+'Cuadro 10'!J13+'Cuadro 10'!J35</f>
        <v>23566623082.79253</v>
      </c>
      <c r="K17" s="16">
        <f>+'Cuadro 10'!K13+'Cuadro 10'!K35</f>
        <v>26385165509.284695</v>
      </c>
    </row>
    <row r="18" spans="1:11" ht="12.75">
      <c r="A18" s="217" t="s">
        <v>295</v>
      </c>
      <c r="B18" s="16">
        <f>+'Cuadro 10'!$B$21</f>
        <v>88576000</v>
      </c>
      <c r="C18" s="16">
        <f>+'Cuadro 10'!C21</f>
        <v>88576000</v>
      </c>
      <c r="D18" s="16">
        <f>+'Cuadro 10'!D21</f>
        <v>88576000</v>
      </c>
      <c r="E18" s="16">
        <f>+'Cuadro 10'!E21</f>
        <v>88576000</v>
      </c>
      <c r="F18" s="16">
        <f>+'Cuadro 10'!F21</f>
        <v>88576000</v>
      </c>
      <c r="G18" s="16">
        <f>+'Cuadro 10'!G21</f>
        <v>87376000</v>
      </c>
      <c r="H18" s="16">
        <f>+'Cuadro 10'!H21</f>
        <v>87376000</v>
      </c>
      <c r="I18" s="16">
        <f>+'Cuadro 10'!I21</f>
        <v>87376000</v>
      </c>
      <c r="J18" s="16">
        <f>+'Cuadro 10'!J21</f>
        <v>87376000</v>
      </c>
      <c r="K18" s="16">
        <f>+'Cuadro 10'!K21</f>
        <v>87376000</v>
      </c>
    </row>
    <row r="19" spans="1:11" ht="12.75">
      <c r="A19" s="217" t="s">
        <v>297</v>
      </c>
      <c r="B19" s="16">
        <f>+'Cuadro 10'!$B$23</f>
        <v>242609729.96343327</v>
      </c>
      <c r="C19" s="16">
        <f>+'Cuadro 10'!C23</f>
        <v>242609729.96343327</v>
      </c>
      <c r="D19" s="16">
        <f>+'Cuadro 10'!D23</f>
        <v>242609729.96343327</v>
      </c>
      <c r="E19" s="16">
        <f>+'Cuadro 10'!E23</f>
        <v>242609729.96343327</v>
      </c>
      <c r="F19" s="16">
        <f>+'Cuadro 10'!F23</f>
        <v>242609729.96343327</v>
      </c>
      <c r="G19" s="16">
        <f>+'Cuadro 10'!G23</f>
        <v>63510109.09090909</v>
      </c>
      <c r="H19" s="16">
        <f>+'Cuadro 10'!H23</f>
        <v>63510109.09090909</v>
      </c>
      <c r="I19" s="16">
        <f>+'Cuadro 10'!I23</f>
        <v>63510109.09090909</v>
      </c>
      <c r="J19" s="16">
        <f>+'Cuadro 10'!J23</f>
        <v>63510109.09090909</v>
      </c>
      <c r="K19" s="16">
        <f>+'Cuadro 10'!K23</f>
        <v>63510109.09090909</v>
      </c>
    </row>
    <row r="20" spans="1:11" ht="12.75">
      <c r="A20" s="217" t="s">
        <v>301</v>
      </c>
      <c r="B20" s="16">
        <f aca="true" t="shared" si="0" ref="B20:K20">+B16-B17-B18-B19</f>
        <v>-270429459.51390743</v>
      </c>
      <c r="C20" s="16">
        <f t="shared" si="0"/>
        <v>1121568677.273858</v>
      </c>
      <c r="D20" s="16">
        <f t="shared" si="0"/>
        <v>1179043987.6130533</v>
      </c>
      <c r="E20" s="16">
        <f t="shared" si="0"/>
        <v>1230562261.1547308</v>
      </c>
      <c r="F20" s="16">
        <f t="shared" si="0"/>
        <v>1273994705.3389864</v>
      </c>
      <c r="G20" s="16">
        <f t="shared" si="0"/>
        <v>1487101159.0753832</v>
      </c>
      <c r="H20" s="16">
        <f t="shared" si="0"/>
        <v>1506265181.751956</v>
      </c>
      <c r="I20" s="16">
        <f t="shared" si="0"/>
        <v>1508215497.7043447</v>
      </c>
      <c r="J20" s="16">
        <f t="shared" si="0"/>
        <v>1488739989.2866507</v>
      </c>
      <c r="K20" s="16">
        <f t="shared" si="0"/>
        <v>1442884972.7231932</v>
      </c>
    </row>
    <row r="21" spans="1:11" ht="12.75">
      <c r="A21" s="217" t="s">
        <v>290</v>
      </c>
      <c r="B21" s="213">
        <v>0.15</v>
      </c>
      <c r="C21" s="213">
        <v>0.15</v>
      </c>
      <c r="D21" s="213">
        <v>0.15</v>
      </c>
      <c r="E21" s="213">
        <v>0.15</v>
      </c>
      <c r="F21" s="213">
        <v>0.15</v>
      </c>
      <c r="G21" s="213">
        <v>0.15</v>
      </c>
      <c r="H21" s="213">
        <v>0.15</v>
      </c>
      <c r="I21" s="213">
        <v>0.15</v>
      </c>
      <c r="J21" s="213">
        <v>0.15</v>
      </c>
      <c r="K21" s="213">
        <v>0.15</v>
      </c>
    </row>
    <row r="22" spans="1:11" ht="12.75">
      <c r="A22" s="217" t="s">
        <v>298</v>
      </c>
      <c r="B22" s="213">
        <v>0.2</v>
      </c>
      <c r="C22" s="213">
        <v>0.2</v>
      </c>
      <c r="D22" s="213">
        <v>0.2</v>
      </c>
      <c r="E22" s="213">
        <v>0.2</v>
      </c>
      <c r="F22" s="213">
        <v>0.2</v>
      </c>
      <c r="G22" s="213">
        <v>0.2</v>
      </c>
      <c r="H22" s="213">
        <v>0.2</v>
      </c>
      <c r="I22" s="213">
        <v>0.2</v>
      </c>
      <c r="J22" s="213">
        <v>0.2</v>
      </c>
      <c r="K22" s="213">
        <v>0.2</v>
      </c>
    </row>
    <row r="23" spans="1:2" ht="12.75">
      <c r="A23" s="217" t="s">
        <v>291</v>
      </c>
      <c r="B23" s="216">
        <f>NPV(B21,-'Cuadro 5'!C17,B20:K20)</f>
        <v>3290334052.4535117</v>
      </c>
    </row>
    <row r="25" ht="12.75">
      <c r="B25" s="44" t="s">
        <v>299</v>
      </c>
    </row>
    <row r="27" spans="2:11" ht="12.75">
      <c r="B27" s="27" t="s">
        <v>280</v>
      </c>
      <c r="C27" s="27" t="s">
        <v>281</v>
      </c>
      <c r="D27" s="27" t="s">
        <v>282</v>
      </c>
      <c r="E27" s="27" t="s">
        <v>283</v>
      </c>
      <c r="F27" s="27" t="s">
        <v>284</v>
      </c>
      <c r="G27" s="27" t="s">
        <v>285</v>
      </c>
      <c r="H27" s="27" t="s">
        <v>286</v>
      </c>
      <c r="I27" s="27" t="s">
        <v>287</v>
      </c>
      <c r="J27" s="27" t="s">
        <v>288</v>
      </c>
      <c r="K27" s="27" t="s">
        <v>289</v>
      </c>
    </row>
    <row r="28" spans="1:11" ht="12.75">
      <c r="A28" s="217" t="s">
        <v>294</v>
      </c>
      <c r="B28" s="16">
        <f>+'Cuadro 10'!B9-'Cuadro 10'!B9*B34</f>
        <v>7895622873.599998</v>
      </c>
      <c r="C28" s="16">
        <f>+'Cuadro 10'!C9-'Cuadro 10'!C9*C34</f>
        <v>11382001804.8</v>
      </c>
      <c r="D28" s="16">
        <f>+'Cuadro 10'!D9-'Cuadro 10'!D9*D34</f>
        <v>12634022003.328</v>
      </c>
      <c r="E28" s="16">
        <f>+'Cuadro 10'!E9-'Cuadro 10'!E9*E34</f>
        <v>14023764423.694078</v>
      </c>
      <c r="F28" s="16">
        <f>+'Cuadro 10'!F9-'Cuadro 10'!F9*F34</f>
        <v>15566378510.300428</v>
      </c>
      <c r="G28" s="16">
        <f>+'Cuadro 10'!G9-'Cuadro 10'!G9*G34</f>
        <v>17278680146.433475</v>
      </c>
      <c r="H28" s="16">
        <f>+'Cuadro 10'!H9-'Cuadro 10'!H9*H34</f>
        <v>19179334962.541157</v>
      </c>
      <c r="I28" s="16">
        <f>+'Cuadro 10'!I9-'Cuadro 10'!I9*I34</f>
        <v>21289061808.420685</v>
      </c>
      <c r="J28" s="16">
        <f>+'Cuadro 10'!J9-'Cuadro 10'!J9*J34</f>
        <v>23630858607.34696</v>
      </c>
      <c r="K28" s="16">
        <f>+'Cuadro 10'!K9-'Cuadro 10'!K9*K34</f>
        <v>26230253054.15512</v>
      </c>
    </row>
    <row r="29" spans="1:11" ht="12.75">
      <c r="A29" s="217" t="s">
        <v>296</v>
      </c>
      <c r="B29" s="16">
        <f>+'Cuadro 10'!B13+'Cuadro 10'!B35</f>
        <v>8361241461.390472</v>
      </c>
      <c r="C29" s="16">
        <f>+'Cuadro 10'!C13+'Cuadro 10'!C35</f>
        <v>10688047517.882708</v>
      </c>
      <c r="D29" s="16">
        <f>+'Cuadro 10'!D13+'Cuadro 10'!D35</f>
        <v>11966060419.306711</v>
      </c>
      <c r="E29" s="16">
        <f>+'Cuadro 10'!E13+'Cuadro 10'!E35</f>
        <v>13396934060.822186</v>
      </c>
      <c r="F29" s="16">
        <f>+'Cuadro 10'!F13+'Cuadro 10'!F35</f>
        <v>14998956642.35137</v>
      </c>
      <c r="G29" s="16">
        <f>+'Cuadro 10'!G13+'Cuadro 10'!G35</f>
        <v>16792604888.029413</v>
      </c>
      <c r="H29" s="16">
        <f>+'Cuadro 10'!H13+'Cuadro 10'!H35</f>
        <v>18800806002.53437</v>
      </c>
      <c r="I29" s="16">
        <f>+'Cuadro 10'!I13+'Cuadro 10'!I35</f>
        <v>21049230988.853477</v>
      </c>
      <c r="J29" s="16">
        <f>+'Cuadro 10'!J13+'Cuadro 10'!J35</f>
        <v>23566623082.79253</v>
      </c>
      <c r="K29" s="16">
        <f>+'Cuadro 10'!K13+'Cuadro 10'!K35</f>
        <v>26385165509.284695</v>
      </c>
    </row>
    <row r="30" spans="1:11" ht="12.75">
      <c r="A30" s="217" t="s">
        <v>295</v>
      </c>
      <c r="B30" s="16">
        <f>+'Cuadro 10'!B21</f>
        <v>88576000</v>
      </c>
      <c r="C30" s="16">
        <f>+'Cuadro 10'!C21</f>
        <v>88576000</v>
      </c>
      <c r="D30" s="16">
        <f>+'Cuadro 10'!D21</f>
        <v>88576000</v>
      </c>
      <c r="E30" s="16">
        <f>+'Cuadro 10'!E21</f>
        <v>88576000</v>
      </c>
      <c r="F30" s="16">
        <f>+'Cuadro 10'!F21</f>
        <v>88576000</v>
      </c>
      <c r="G30" s="16">
        <f>+'Cuadro 10'!G21</f>
        <v>87376000</v>
      </c>
      <c r="H30" s="16">
        <f>+'Cuadro 10'!H21</f>
        <v>87376000</v>
      </c>
      <c r="I30" s="16">
        <f>+'Cuadro 10'!I21</f>
        <v>87376000</v>
      </c>
      <c r="J30" s="16">
        <f>+'Cuadro 10'!J21</f>
        <v>87376000</v>
      </c>
      <c r="K30" s="16">
        <f>+'Cuadro 10'!K21</f>
        <v>87376000</v>
      </c>
    </row>
    <row r="31" spans="1:11" ht="12.75">
      <c r="A31" s="217" t="s">
        <v>297</v>
      </c>
      <c r="B31" s="16">
        <f>+'Cuadro 10'!B23</f>
        <v>242609729.96343327</v>
      </c>
      <c r="C31" s="16">
        <f>+'Cuadro 10'!C23</f>
        <v>242609729.96343327</v>
      </c>
      <c r="D31" s="16">
        <f>+'Cuadro 10'!D23</f>
        <v>242609729.96343327</v>
      </c>
      <c r="E31" s="16">
        <f>+'Cuadro 10'!E23</f>
        <v>242609729.96343327</v>
      </c>
      <c r="F31" s="16">
        <f>+'Cuadro 10'!F23</f>
        <v>242609729.96343327</v>
      </c>
      <c r="G31" s="16">
        <f>+'Cuadro 10'!G23</f>
        <v>63510109.09090909</v>
      </c>
      <c r="H31" s="16">
        <f>+'Cuadro 10'!H23</f>
        <v>63510109.09090909</v>
      </c>
      <c r="I31" s="16">
        <f>+'Cuadro 10'!I23</f>
        <v>63510109.09090909</v>
      </c>
      <c r="J31" s="16">
        <f>+'Cuadro 10'!J23</f>
        <v>63510109.09090909</v>
      </c>
      <c r="K31" s="16">
        <f>+'Cuadro 10'!K23</f>
        <v>63510109.09090909</v>
      </c>
    </row>
    <row r="32" spans="1:11" ht="12.75">
      <c r="A32" s="217" t="s">
        <v>301</v>
      </c>
      <c r="B32" s="16">
        <f aca="true" t="shared" si="1" ref="B32:K32">+B28-B29-B30-B31</f>
        <v>-796804317.7539072</v>
      </c>
      <c r="C32" s="16">
        <f t="shared" si="1"/>
        <v>362768556.9538584</v>
      </c>
      <c r="D32" s="16">
        <f t="shared" si="1"/>
        <v>336775854.05785465</v>
      </c>
      <c r="E32" s="16">
        <f t="shared" si="1"/>
        <v>295644632.90845966</v>
      </c>
      <c r="F32" s="16">
        <f t="shared" si="1"/>
        <v>236236137.98562527</v>
      </c>
      <c r="G32" s="16">
        <f t="shared" si="1"/>
        <v>335189149.31315315</v>
      </c>
      <c r="H32" s="16">
        <f t="shared" si="1"/>
        <v>227642850.91587725</v>
      </c>
      <c r="I32" s="16">
        <f t="shared" si="1"/>
        <v>88944710.47629824</v>
      </c>
      <c r="J32" s="16">
        <f t="shared" si="1"/>
        <v>-86650584.536481</v>
      </c>
      <c r="K32" s="16">
        <f t="shared" si="1"/>
        <v>-305798564.22048295</v>
      </c>
    </row>
    <row r="33" spans="1:11" ht="12.75">
      <c r="A33" s="217" t="s">
        <v>290</v>
      </c>
      <c r="B33" s="213">
        <v>0.1</v>
      </c>
      <c r="C33" s="213">
        <v>0.1</v>
      </c>
      <c r="D33" s="213">
        <v>0.1</v>
      </c>
      <c r="E33" s="213">
        <v>0.1</v>
      </c>
      <c r="F33" s="213">
        <v>0.1</v>
      </c>
      <c r="G33" s="213">
        <v>0.1</v>
      </c>
      <c r="H33" s="213">
        <v>0.1</v>
      </c>
      <c r="I33" s="213">
        <v>0.1</v>
      </c>
      <c r="J33" s="213">
        <v>0.1</v>
      </c>
      <c r="K33" s="213">
        <v>0.1</v>
      </c>
    </row>
    <row r="34" spans="1:11" ht="12.75">
      <c r="A34" s="217" t="s">
        <v>298</v>
      </c>
      <c r="B34" s="213">
        <v>0.25</v>
      </c>
      <c r="C34" s="213">
        <v>0.25</v>
      </c>
      <c r="D34" s="213">
        <v>0.25</v>
      </c>
      <c r="E34" s="213">
        <v>0.25</v>
      </c>
      <c r="F34" s="213">
        <v>0.25</v>
      </c>
      <c r="G34" s="213">
        <v>0.25</v>
      </c>
      <c r="H34" s="213">
        <v>0.25</v>
      </c>
      <c r="I34" s="213">
        <v>0.25</v>
      </c>
      <c r="J34" s="213">
        <v>0.25</v>
      </c>
      <c r="K34" s="213">
        <v>0.25</v>
      </c>
    </row>
    <row r="35" spans="1:2" ht="12.75">
      <c r="A35" s="217" t="s">
        <v>291</v>
      </c>
      <c r="B35" s="216">
        <f>NPV(B33,-'Cuadro 5'!C17,B32:K32)</f>
        <v>-957603570.8612249</v>
      </c>
    </row>
    <row r="38" ht="12.75">
      <c r="C38" s="128"/>
    </row>
  </sheetData>
  <mergeCells count="1">
    <mergeCell ref="C3:H3"/>
  </mergeCells>
  <printOptions/>
  <pageMargins left="0.75" right="0.75" top="1" bottom="1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4"/>
  <sheetViews>
    <sheetView showGridLines="0" workbookViewId="0" topLeftCell="A1">
      <selection activeCell="A1" sqref="A1:A16384"/>
    </sheetView>
  </sheetViews>
  <sheetFormatPr defaultColWidth="11.421875" defaultRowHeight="12.75"/>
  <cols>
    <col min="1" max="1" width="18.28125" style="0" bestFit="1" customWidth="1"/>
    <col min="2" max="2" width="19.8515625" style="0" bestFit="1" customWidth="1"/>
    <col min="3" max="10" width="18.28125" style="0" bestFit="1" customWidth="1"/>
  </cols>
  <sheetData>
    <row r="3" spans="2:7" ht="12.75">
      <c r="B3" s="251" t="s">
        <v>292</v>
      </c>
      <c r="C3" s="251"/>
      <c r="D3" s="251"/>
      <c r="E3" s="251"/>
      <c r="F3" s="251"/>
      <c r="G3" s="251"/>
    </row>
    <row r="8" spans="1:5" ht="12.75">
      <c r="A8" t="s">
        <v>291</v>
      </c>
      <c r="B8" s="215">
        <f>'Cuadro 13'!B23</f>
        <v>3290334052.4535117</v>
      </c>
      <c r="C8" s="128">
        <f>+'Cuadro 13'!B21</f>
        <v>0.15</v>
      </c>
      <c r="D8" t="s">
        <v>300</v>
      </c>
      <c r="E8" s="128">
        <f>IRR('Cuadro 13'!B20:K20)</f>
        <v>4.1975441762547705</v>
      </c>
    </row>
    <row r="9" spans="1:5" ht="12.75">
      <c r="A9" t="s">
        <v>291</v>
      </c>
      <c r="B9" s="215">
        <f>+'Cuadro 13'!B35</f>
        <v>-957603570.8612249</v>
      </c>
      <c r="C9" s="128">
        <f>+'Cuadro 13'!B33</f>
        <v>0.1</v>
      </c>
      <c r="D9" t="s">
        <v>300</v>
      </c>
      <c r="E9" s="128">
        <f>IRR('Cuadro 13'!B32:K32)</f>
        <v>0.3075752676426659</v>
      </c>
    </row>
    <row r="10" ht="12.75">
      <c r="B10" s="128"/>
    </row>
    <row r="12" spans="2:7" ht="12.75">
      <c r="B12" s="251" t="s">
        <v>273</v>
      </c>
      <c r="C12" s="251"/>
      <c r="D12" s="251"/>
      <c r="E12" s="251"/>
      <c r="F12" s="251"/>
      <c r="G12" s="251"/>
    </row>
    <row r="14" ht="12.75">
      <c r="A14" t="s">
        <v>302</v>
      </c>
    </row>
  </sheetData>
  <mergeCells count="2">
    <mergeCell ref="B3:G3"/>
    <mergeCell ref="B12:G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21" t="s">
        <v>137</v>
      </c>
      <c r="C3" s="222"/>
      <c r="D3" s="222"/>
      <c r="E3" s="222"/>
      <c r="F3" s="222"/>
      <c r="G3" s="222"/>
      <c r="H3" s="223"/>
    </row>
    <row r="4" spans="2:8" ht="13.5" thickBot="1">
      <c r="B4" s="224" t="s">
        <v>138</v>
      </c>
      <c r="C4" s="225"/>
      <c r="D4" s="225"/>
      <c r="E4" s="225"/>
      <c r="F4" s="225"/>
      <c r="G4" s="225"/>
      <c r="H4" s="225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G11" sqref="G11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7" t="s">
        <v>150</v>
      </c>
      <c r="C2" s="228"/>
      <c r="D2" s="228"/>
      <c r="E2" s="229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21" t="s">
        <v>145</v>
      </c>
      <c r="C2" s="222"/>
      <c r="D2" s="222"/>
      <c r="E2" s="222"/>
      <c r="F2" s="222"/>
      <c r="G2" s="222"/>
      <c r="H2" s="223"/>
    </row>
    <row r="3" spans="2:8" ht="13.5" thickBot="1">
      <c r="B3" s="224" t="s">
        <v>146</v>
      </c>
      <c r="C3" s="225"/>
      <c r="D3" s="225"/>
      <c r="E3" s="225"/>
      <c r="F3" s="225"/>
      <c r="G3" s="225"/>
      <c r="H3" s="225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30" t="s">
        <v>214</v>
      </c>
      <c r="C3" s="230"/>
      <c r="D3" s="230"/>
      <c r="E3" s="231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32" t="s">
        <v>215</v>
      </c>
      <c r="D5" s="232"/>
      <c r="E5" s="233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9'!H8+'Cuadro 9'!C19+SUM('Cuadro 9'!H8+'Cuadro 9'!C19)*20%-C14</f>
        <v>799551878.8951972</v>
      </c>
      <c r="E14" s="158">
        <f>+C14+D14</f>
        <v>1049551878.8951972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1929311878.8951972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34"/>
      <c r="C19" s="234"/>
      <c r="D19" s="234"/>
      <c r="E19" s="234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5"/>
      <c r="D21" s="235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">
      <selection activeCell="C9" sqref="C9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21" t="s">
        <v>151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2:14" ht="13.5" thickBot="1">
      <c r="B4" s="224" t="s">
        <v>234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6</v>
      </c>
      <c r="D15" s="192" t="s">
        <v>237</v>
      </c>
    </row>
    <row r="16" spans="2:4" ht="25.5">
      <c r="B16" s="193" t="s">
        <v>236</v>
      </c>
      <c r="C16" s="192">
        <v>11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21" t="s">
        <v>151</v>
      </c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</row>
    <row r="21" spans="2:16" ht="12.75">
      <c r="B21" s="240" t="s">
        <v>256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799551878.8951972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786226014.2469438</v>
      </c>
      <c r="E25" s="98">
        <f>+D25-E27</f>
        <v>772900149.5986905</v>
      </c>
      <c r="F25" s="98">
        <f aca="true" t="shared" si="3" ref="F25:O25">+E25-F27</f>
        <v>759574284.9504372</v>
      </c>
      <c r="G25" s="98">
        <f t="shared" si="3"/>
        <v>746248420.3021839</v>
      </c>
      <c r="H25" s="98">
        <f t="shared" si="3"/>
        <v>732922555.6539305</v>
      </c>
      <c r="I25" s="98">
        <f t="shared" si="3"/>
        <v>719596691.0056772</v>
      </c>
      <c r="J25" s="98">
        <f t="shared" si="3"/>
        <v>706270826.3574239</v>
      </c>
      <c r="K25" s="98">
        <f t="shared" si="3"/>
        <v>692944961.7091706</v>
      </c>
      <c r="L25" s="98">
        <f t="shared" si="3"/>
        <v>679619097.0609173</v>
      </c>
      <c r="M25" s="98">
        <f t="shared" si="3"/>
        <v>666293232.4126639</v>
      </c>
      <c r="N25" s="98">
        <f t="shared" si="3"/>
        <v>652967367.7644106</v>
      </c>
      <c r="O25" s="98">
        <f t="shared" si="3"/>
        <v>639641503.1161573</v>
      </c>
      <c r="P25" s="202">
        <f>+O25</f>
        <v>639641503.1161573</v>
      </c>
    </row>
    <row r="26" spans="2:16" ht="12.75">
      <c r="B26" s="93" t="s">
        <v>254</v>
      </c>
      <c r="C26" s="157"/>
      <c r="D26" s="196">
        <f aca="true" t="shared" si="4" ref="D26:O26">+$C$24/(5*12)*$C$17</f>
        <v>1599103.7577903944</v>
      </c>
      <c r="E26" s="196">
        <f t="shared" si="4"/>
        <v>1599103.7577903944</v>
      </c>
      <c r="F26" s="196">
        <f t="shared" si="4"/>
        <v>1599103.7577903944</v>
      </c>
      <c r="G26" s="196">
        <f t="shared" si="4"/>
        <v>1599103.7577903944</v>
      </c>
      <c r="H26" s="196">
        <f t="shared" si="4"/>
        <v>1599103.7577903944</v>
      </c>
      <c r="I26" s="196">
        <f t="shared" si="4"/>
        <v>1599103.7577903944</v>
      </c>
      <c r="J26" s="196">
        <f t="shared" si="4"/>
        <v>1599103.7577903944</v>
      </c>
      <c r="K26" s="196">
        <f t="shared" si="4"/>
        <v>1599103.7577903944</v>
      </c>
      <c r="L26" s="196">
        <f t="shared" si="4"/>
        <v>1599103.7577903944</v>
      </c>
      <c r="M26" s="196">
        <f t="shared" si="4"/>
        <v>1599103.7577903944</v>
      </c>
      <c r="N26" s="196">
        <f t="shared" si="4"/>
        <v>1599103.7577903944</v>
      </c>
      <c r="O26" s="196">
        <f t="shared" si="4"/>
        <v>1599103.7577903944</v>
      </c>
      <c r="P26" s="203">
        <f>+SUM(D26:O26)</f>
        <v>19189245.093484733</v>
      </c>
    </row>
    <row r="27" spans="2:16" ht="12.75">
      <c r="B27" s="93" t="s">
        <v>255</v>
      </c>
      <c r="C27" s="157"/>
      <c r="D27" s="196">
        <f aca="true" t="shared" si="5" ref="D27:O27">+$C$24/(5*12)</f>
        <v>13325864.648253286</v>
      </c>
      <c r="E27" s="196">
        <f t="shared" si="5"/>
        <v>13325864.648253286</v>
      </c>
      <c r="F27" s="196">
        <f t="shared" si="5"/>
        <v>13325864.648253286</v>
      </c>
      <c r="G27" s="196">
        <f t="shared" si="5"/>
        <v>13325864.648253286</v>
      </c>
      <c r="H27" s="196">
        <f t="shared" si="5"/>
        <v>13325864.648253286</v>
      </c>
      <c r="I27" s="196">
        <f t="shared" si="5"/>
        <v>13325864.648253286</v>
      </c>
      <c r="J27" s="196">
        <f t="shared" si="5"/>
        <v>13325864.648253286</v>
      </c>
      <c r="K27" s="196">
        <f t="shared" si="5"/>
        <v>13325864.648253286</v>
      </c>
      <c r="L27" s="196">
        <f t="shared" si="5"/>
        <v>13325864.648253286</v>
      </c>
      <c r="M27" s="196">
        <f t="shared" si="5"/>
        <v>13325864.648253286</v>
      </c>
      <c r="N27" s="196">
        <f t="shared" si="5"/>
        <v>13325864.648253286</v>
      </c>
      <c r="O27" s="196">
        <f t="shared" si="5"/>
        <v>13325864.648253286</v>
      </c>
      <c r="P27" s="203">
        <f>+SUM(D27:O27)</f>
        <v>159910375.77903947</v>
      </c>
    </row>
    <row r="28" spans="2:16" ht="26.25" thickBot="1">
      <c r="B28" s="74" t="s">
        <v>259</v>
      </c>
      <c r="C28" s="197"/>
      <c r="D28" s="198">
        <f>+D26+D27</f>
        <v>14924968.40604368</v>
      </c>
      <c r="E28" s="198">
        <f aca="true" t="shared" si="6" ref="E28:O28">+E26+E27</f>
        <v>14924968.40604368</v>
      </c>
      <c r="F28" s="198">
        <f t="shared" si="6"/>
        <v>14924968.40604368</v>
      </c>
      <c r="G28" s="198">
        <f t="shared" si="6"/>
        <v>14924968.40604368</v>
      </c>
      <c r="H28" s="198">
        <f t="shared" si="6"/>
        <v>14924968.40604368</v>
      </c>
      <c r="I28" s="198">
        <f t="shared" si="6"/>
        <v>14924968.40604368</v>
      </c>
      <c r="J28" s="198">
        <f t="shared" si="6"/>
        <v>14924968.40604368</v>
      </c>
      <c r="K28" s="198">
        <f t="shared" si="6"/>
        <v>14924968.40604368</v>
      </c>
      <c r="L28" s="198">
        <f t="shared" si="6"/>
        <v>14924968.40604368</v>
      </c>
      <c r="M28" s="198">
        <f t="shared" si="6"/>
        <v>14924968.40604368</v>
      </c>
      <c r="N28" s="198">
        <f t="shared" si="6"/>
        <v>14924968.40604368</v>
      </c>
      <c r="O28" s="198">
        <f t="shared" si="6"/>
        <v>14924968.40604368</v>
      </c>
      <c r="P28" s="203">
        <f>+SUM(D28:O28)</f>
        <v>179099620.87252417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21" t="s">
        <v>151</v>
      </c>
      <c r="C31" s="222"/>
      <c r="D31" s="222"/>
      <c r="E31" s="222"/>
      <c r="F31" s="222"/>
      <c r="G31" s="222"/>
      <c r="H31" s="223"/>
    </row>
    <row r="32" spans="2:8" ht="13.5" thickBot="1">
      <c r="B32" s="224" t="s">
        <v>256</v>
      </c>
      <c r="C32" s="225"/>
      <c r="D32" s="225"/>
      <c r="E32" s="225"/>
      <c r="F32" s="225"/>
      <c r="G32" s="225"/>
      <c r="H32" s="226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799551878.8951972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639641503.1161578</v>
      </c>
      <c r="E36" s="98">
        <f>+D36-($C$35/5)</f>
        <v>479731127.3371183</v>
      </c>
      <c r="F36" s="98">
        <f>+E36-($C$35/5)</f>
        <v>319820751.5580789</v>
      </c>
      <c r="G36" s="98">
        <f>+F36-($C$35/5)</f>
        <v>159910375.77903944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19189245.09348473</v>
      </c>
      <c r="E37" s="98">
        <f>D37</f>
        <v>19189245.09348473</v>
      </c>
      <c r="F37" s="98">
        <f>E37</f>
        <v>19189245.09348473</v>
      </c>
      <c r="G37" s="98">
        <f>F37</f>
        <v>19189245.09348473</v>
      </c>
      <c r="H37" s="100">
        <f>G37</f>
        <v>19189245.09348473</v>
      </c>
    </row>
    <row r="38" spans="2:8" ht="13.5" thickBot="1">
      <c r="B38" s="74" t="s">
        <v>255</v>
      </c>
      <c r="C38" s="102"/>
      <c r="D38" s="101">
        <f>+$C$35/5</f>
        <v>159910375.77903944</v>
      </c>
      <c r="E38" s="101">
        <f>+$C$35/5</f>
        <v>159910375.77903944</v>
      </c>
      <c r="F38" s="101">
        <f>+$C$35/5</f>
        <v>159910375.77903944</v>
      </c>
      <c r="G38" s="101">
        <f>+$C$35/5</f>
        <v>159910375.77903944</v>
      </c>
      <c r="H38" s="103">
        <f>+$C$35/5</f>
        <v>159910375.77903944</v>
      </c>
    </row>
    <row r="39" spans="2:8" ht="27" thickBot="1" thickTop="1">
      <c r="B39" s="94" t="s">
        <v>259</v>
      </c>
      <c r="C39" s="80"/>
      <c r="D39" s="104">
        <f>+D38+D37</f>
        <v>179099620.87252417</v>
      </c>
      <c r="E39" s="104">
        <f>+E38+E37</f>
        <v>179099620.87252417</v>
      </c>
      <c r="F39" s="104">
        <f>+F38+F37</f>
        <v>179099620.87252417</v>
      </c>
      <c r="G39" s="104">
        <f>+G38+G37</f>
        <v>179099620.87252417</v>
      </c>
      <c r="H39" s="105">
        <f>+H38+H37</f>
        <v>179099620.87252417</v>
      </c>
    </row>
    <row r="41" ht="13.5" thickBot="1"/>
    <row r="42" spans="2:13" ht="12.75">
      <c r="B42" s="23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9"/>
    </row>
    <row r="43" spans="2:13" ht="12.75">
      <c r="B43" s="236" t="s">
        <v>260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8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504678545.45454544</v>
      </c>
      <c r="F46" s="98">
        <f aca="true" t="shared" si="7" ref="F46:M46">+E46-$D$48</f>
        <v>447973090.9090909</v>
      </c>
      <c r="G46" s="98">
        <f t="shared" si="7"/>
        <v>391267636.3636363</v>
      </c>
      <c r="H46" s="98">
        <f t="shared" si="7"/>
        <v>334562181.81818175</v>
      </c>
      <c r="I46" s="98">
        <f t="shared" si="7"/>
        <v>277856727.2727272</v>
      </c>
      <c r="J46" s="98">
        <f t="shared" si="7"/>
        <v>221151272.72727263</v>
      </c>
      <c r="K46" s="98">
        <f t="shared" si="7"/>
        <v>164445818.18181807</v>
      </c>
      <c r="L46" s="98">
        <f t="shared" si="7"/>
        <v>107740363.63636352</v>
      </c>
      <c r="M46" s="100">
        <f t="shared" si="7"/>
        <v>51034909.090908974</v>
      </c>
    </row>
    <row r="47" spans="2:13" ht="12.75">
      <c r="B47" s="93" t="s">
        <v>254</v>
      </c>
      <c r="C47" s="157"/>
      <c r="D47" s="196">
        <f>+$C$45*$C$17/$C$16</f>
        <v>6804654.545454546</v>
      </c>
      <c r="E47" s="196">
        <f aca="true" t="shared" si="8" ref="E47:M47">+$C$45*$C$17/$C$16</f>
        <v>6804654.545454546</v>
      </c>
      <c r="F47" s="196">
        <f t="shared" si="8"/>
        <v>6804654.545454546</v>
      </c>
      <c r="G47" s="196">
        <f t="shared" si="8"/>
        <v>6804654.545454546</v>
      </c>
      <c r="H47" s="196">
        <f t="shared" si="8"/>
        <v>6804654.545454546</v>
      </c>
      <c r="I47" s="196">
        <f t="shared" si="8"/>
        <v>6804654.545454546</v>
      </c>
      <c r="J47" s="196">
        <f t="shared" si="8"/>
        <v>6804654.545454546</v>
      </c>
      <c r="K47" s="196">
        <f t="shared" si="8"/>
        <v>6804654.545454546</v>
      </c>
      <c r="L47" s="196">
        <f t="shared" si="8"/>
        <v>6804654.545454546</v>
      </c>
      <c r="M47" s="205">
        <f t="shared" si="8"/>
        <v>6804654.545454546</v>
      </c>
    </row>
    <row r="48" spans="2:13" ht="12.75">
      <c r="B48" s="74" t="s">
        <v>255</v>
      </c>
      <c r="C48" s="157"/>
      <c r="D48" s="196">
        <f>+$C$45/$C$16</f>
        <v>56705454.54545455</v>
      </c>
      <c r="E48" s="196">
        <f aca="true" t="shared" si="9" ref="E48:M48">+$C$45/$C$16</f>
        <v>56705454.54545455</v>
      </c>
      <c r="F48" s="196">
        <f t="shared" si="9"/>
        <v>56705454.54545455</v>
      </c>
      <c r="G48" s="196">
        <f t="shared" si="9"/>
        <v>56705454.54545455</v>
      </c>
      <c r="H48" s="196">
        <f t="shared" si="9"/>
        <v>56705454.54545455</v>
      </c>
      <c r="I48" s="196">
        <f t="shared" si="9"/>
        <v>56705454.54545455</v>
      </c>
      <c r="J48" s="196">
        <f t="shared" si="9"/>
        <v>56705454.54545455</v>
      </c>
      <c r="K48" s="196">
        <f t="shared" si="9"/>
        <v>56705454.54545455</v>
      </c>
      <c r="L48" s="196">
        <f t="shared" si="9"/>
        <v>56705454.54545455</v>
      </c>
      <c r="M48" s="205">
        <f t="shared" si="9"/>
        <v>56705454.54545455</v>
      </c>
    </row>
    <row r="49" spans="2:13" ht="26.25" thickBot="1">
      <c r="B49" s="94" t="s">
        <v>259</v>
      </c>
      <c r="C49" s="206"/>
      <c r="D49" s="207">
        <f>+D47+D48</f>
        <v>63510109.09090909</v>
      </c>
      <c r="E49" s="207">
        <f aca="true" t="shared" si="10" ref="E49:M49">+E47+E48</f>
        <v>63510109.09090909</v>
      </c>
      <c r="F49" s="207">
        <f t="shared" si="10"/>
        <v>63510109.09090909</v>
      </c>
      <c r="G49" s="207">
        <f t="shared" si="10"/>
        <v>63510109.09090909</v>
      </c>
      <c r="H49" s="207">
        <f t="shared" si="10"/>
        <v>63510109.09090909</v>
      </c>
      <c r="I49" s="207">
        <f t="shared" si="10"/>
        <v>63510109.09090909</v>
      </c>
      <c r="J49" s="207">
        <f t="shared" si="10"/>
        <v>63510109.09090909</v>
      </c>
      <c r="K49" s="207">
        <f t="shared" si="10"/>
        <v>63510109.09090909</v>
      </c>
      <c r="L49" s="207">
        <f t="shared" si="10"/>
        <v>63510109.09090909</v>
      </c>
      <c r="M49" s="208">
        <f t="shared" si="10"/>
        <v>63510109.09090909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36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ht="13.5" thickBot="1"/>
    <row r="3" spans="1:3" ht="13.5" thickBot="1">
      <c r="A3" s="170"/>
      <c r="B3" s="230" t="s">
        <v>214</v>
      </c>
      <c r="C3" s="231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799551878.8951972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1423311878.8951972</v>
      </c>
    </row>
    <row r="19" spans="2:3" ht="12.75">
      <c r="B19" s="102"/>
      <c r="C19" s="168"/>
    </row>
    <row r="21" spans="1:3" ht="12.75">
      <c r="A21" s="96"/>
      <c r="B21" s="234"/>
      <c r="C21" s="234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2">
    <mergeCell ref="B3:C3"/>
    <mergeCell ref="B21:C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5" sqref="B5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2" t="s">
        <v>13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3000000</v>
      </c>
      <c r="C4" s="16">
        <f>+(B4*4.16%)</f>
        <v>124800</v>
      </c>
      <c r="D4" s="16">
        <f aca="true" t="shared" si="0" ref="D4:D13">+((B4/30)*15)/12</f>
        <v>125000</v>
      </c>
      <c r="E4" s="16">
        <f>+B4*9%</f>
        <v>270000</v>
      </c>
      <c r="F4" s="16">
        <f>+B4*2%</f>
        <v>60000</v>
      </c>
      <c r="G4" s="16">
        <f aca="true" t="shared" si="1" ref="G4:G13">+((B4/30)*7)/12</f>
        <v>58333.333333333336</v>
      </c>
      <c r="H4" s="16">
        <v>0</v>
      </c>
      <c r="I4" s="16">
        <f aca="true" t="shared" si="2" ref="I4:I13">((B4+C4)/30)*5</f>
        <v>520800</v>
      </c>
      <c r="J4" s="16">
        <f aca="true" t="shared" si="3" ref="J4:J13">+B4*1.7%</f>
        <v>51000.00000000001</v>
      </c>
      <c r="K4" s="16">
        <f aca="true" t="shared" si="4" ref="K4:K13">+B4*2%</f>
        <v>60000</v>
      </c>
      <c r="L4" s="17">
        <f aca="true" t="shared" si="5" ref="L4:L13">SUM(B4:K4)</f>
        <v>4269933.333333334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50805586.515277766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tabSelected="1" workbookViewId="0" topLeftCell="A1">
      <selection activeCell="B2" sqref="B2:J2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3" t="s">
        <v>189</v>
      </c>
      <c r="C2" s="243"/>
      <c r="D2" s="243"/>
      <c r="E2" s="243"/>
      <c r="F2" s="243"/>
      <c r="G2" s="243"/>
      <c r="H2" s="243"/>
      <c r="I2" s="243"/>
      <c r="J2" s="243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4" t="s">
        <v>182</v>
      </c>
      <c r="C14" s="244"/>
      <c r="D14" s="244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4" t="s">
        <v>182</v>
      </c>
      <c r="H15" s="244"/>
      <c r="I15" s="244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7" t="s">
        <v>188</v>
      </c>
      <c r="H18" s="245"/>
      <c r="I18" s="246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7" t="s">
        <v>187</v>
      </c>
      <c r="I19" s="247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8">
        <v>0.7</v>
      </c>
      <c r="I20" s="248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8">
        <v>0.2</v>
      </c>
      <c r="I21" s="248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8">
        <v>0.1</v>
      </c>
      <c r="I22" s="248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7" t="s">
        <v>186</v>
      </c>
      <c r="H24" s="228"/>
      <c r="I24" s="229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4" t="s">
        <v>182</v>
      </c>
      <c r="C29" s="244"/>
      <c r="D29" s="244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2007-02-06T20:00:08Z</dcterms:modified>
  <cp:category/>
  <cp:version/>
  <cp:contentType/>
  <cp:contentStatus/>
</cp:coreProperties>
</file>