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60" windowHeight="8385" tabRatio="758" firstSheet="5" activeTab="13"/>
  </bookViews>
  <sheets>
    <sheet name="Cuadro 1" sheetId="1" r:id="rId1"/>
    <sheet name="Cuadro 2A" sheetId="2" r:id="rId2"/>
    <sheet name="Cuadro 2B" sheetId="3" r:id="rId3"/>
    <sheet name="Cuadro 2C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2" sheetId="13" r:id="rId13"/>
    <sheet name="Cuadro 13" sheetId="14" r:id="rId14"/>
    <sheet name="Cuadro 14" sheetId="15" r:id="rId15"/>
  </sheets>
  <definedNames>
    <definedName name="_xlnm.Print_Area" localSheetId="11">'Cuadro 10'!$A$1:$J$48</definedName>
    <definedName name="_xlnm.Print_Area" localSheetId="12">'Cuadro 12'!$A$1:$J$32</definedName>
    <definedName name="OLE_LINK7" localSheetId="8">'Cuadro 7'!$G$3</definedName>
  </definedNames>
  <calcPr fullCalcOnLoad="1"/>
</workbook>
</file>

<file path=xl/sharedStrings.xml><?xml version="1.0" encoding="utf-8"?>
<sst xmlns="http://schemas.openxmlformats.org/spreadsheetml/2006/main" count="479" uniqueCount="307">
  <si>
    <t>TOTAL</t>
  </si>
  <si>
    <t>% G&amp;AD</t>
  </si>
  <si>
    <t>Ventas</t>
  </si>
  <si>
    <t>Margen Bruto</t>
  </si>
  <si>
    <t>Costos de Ventas</t>
  </si>
  <si>
    <t>% Costos de Venta</t>
  </si>
  <si>
    <t>Margen %</t>
  </si>
  <si>
    <t>Gastos Generales y Admin.</t>
  </si>
  <si>
    <t>Venta y Mercadeo</t>
  </si>
  <si>
    <t>General &amp; Administración</t>
  </si>
  <si>
    <t>Total V, G &amp; A</t>
  </si>
  <si>
    <t>Rentabilidad</t>
  </si>
  <si>
    <t>% Rentabilidad</t>
  </si>
  <si>
    <t>Cálculo de Nómina mes Según la Ley del Trabajo Vigente</t>
  </si>
  <si>
    <t>Cargo</t>
  </si>
  <si>
    <t>Salario Base</t>
  </si>
  <si>
    <t>Vacaciones</t>
  </si>
  <si>
    <t>LPH</t>
  </si>
  <si>
    <t>Bono Vacacional</t>
  </si>
  <si>
    <t>Bono Alimentación</t>
  </si>
  <si>
    <t>Prestaciones</t>
  </si>
  <si>
    <t>Seguro Paro Forzoso</t>
  </si>
  <si>
    <t>Ince 2%</t>
  </si>
  <si>
    <t>Total</t>
  </si>
  <si>
    <t>Gte. Gral</t>
  </si>
  <si>
    <t>Gte. De Planta</t>
  </si>
  <si>
    <t>Gte de Ventas</t>
  </si>
  <si>
    <t>Gte. De Compras</t>
  </si>
  <si>
    <t>Administrador</t>
  </si>
  <si>
    <t>Obreros (40)</t>
  </si>
  <si>
    <t>1 Montacarguista</t>
  </si>
  <si>
    <t>Total Nómina Mes</t>
  </si>
  <si>
    <t>PRODUCTO</t>
  </si>
  <si>
    <t>COSTO VARIABLE MES</t>
  </si>
  <si>
    <t>COSTO VARIABLE AÑO</t>
  </si>
  <si>
    <t>SARDINA EN ACEITE</t>
  </si>
  <si>
    <t>SARDINA EN SALSA DE TOMATE</t>
  </si>
  <si>
    <t>SARDINA EN SALSA PICANTE</t>
  </si>
  <si>
    <t xml:space="preserve">TOTAL </t>
  </si>
  <si>
    <t>Descripción</t>
  </si>
  <si>
    <t>Administrativo</t>
  </si>
  <si>
    <t>Operativo</t>
  </si>
  <si>
    <t>Nómina Operativa</t>
  </si>
  <si>
    <t>Nómina Administratíva</t>
  </si>
  <si>
    <t>Alquiler de Galpón</t>
  </si>
  <si>
    <t>Teléfono</t>
  </si>
  <si>
    <t>Gas</t>
  </si>
  <si>
    <t xml:space="preserve">Limpieza </t>
  </si>
  <si>
    <t>Adquisición de equipos de Seguridad</t>
  </si>
  <si>
    <t>Impuestos</t>
  </si>
  <si>
    <t>Totales Administrativos</t>
  </si>
  <si>
    <t>Totales Operativos</t>
  </si>
  <si>
    <t xml:space="preserve">Maquinarias </t>
  </si>
  <si>
    <t xml:space="preserve">No. De Máquinas </t>
  </si>
  <si>
    <t xml:space="preserve">Costo de la Máquina (Bs.) </t>
  </si>
  <si>
    <t xml:space="preserve">Total Costo de la Máquina (Bs.) </t>
  </si>
  <si>
    <t xml:space="preserve">CANCO 400 (202 x 308) </t>
  </si>
  <si>
    <t xml:space="preserve">Llenadora de Aceite y Tomate </t>
  </si>
  <si>
    <t xml:space="preserve">Hornos (Autoclave) </t>
  </si>
  <si>
    <t xml:space="preserve">Compresor (Ingerson Rand) </t>
  </si>
  <si>
    <t xml:space="preserve">Escamadora </t>
  </si>
  <si>
    <t xml:space="preserve">Empaquetadora de Polietileno Termoencogible </t>
  </si>
  <si>
    <t xml:space="preserve">Etiquetadoras </t>
  </si>
  <si>
    <t xml:space="preserve">Montacargas (2,5 Tons) </t>
  </si>
  <si>
    <t xml:space="preserve">Sistema de Transportación </t>
  </si>
  <si>
    <t xml:space="preserve">Sistema de Electrònico </t>
  </si>
  <si>
    <t xml:space="preserve">Cava de Almacenamiento </t>
  </si>
  <si>
    <t xml:space="preserve">Tanque de agua </t>
  </si>
  <si>
    <t xml:space="preserve">Camion Cava 350 </t>
  </si>
  <si>
    <t xml:space="preserve">Tanques de Aceite (50KL) </t>
  </si>
  <si>
    <t xml:space="preserve">Banco de Transformadores </t>
  </si>
  <si>
    <t xml:space="preserve"> Polipasto </t>
  </si>
  <si>
    <t xml:space="preserve">Marmitas </t>
  </si>
  <si>
    <t xml:space="preserve">Caldera100hp </t>
  </si>
  <si>
    <t>Gas Caldera</t>
  </si>
  <si>
    <t>Electricidad</t>
  </si>
  <si>
    <t>Otros Gastos Operativos</t>
  </si>
  <si>
    <t>Otros Gastos Administrativos</t>
  </si>
  <si>
    <t>Depreciación de Maquinarias</t>
  </si>
  <si>
    <t>1 Almacenista</t>
  </si>
  <si>
    <t>Total costos de Ventas</t>
  </si>
  <si>
    <t>1 Supervisor</t>
  </si>
  <si>
    <t>1 Técnico en Alimento</t>
  </si>
  <si>
    <t>SSO (9%)</t>
  </si>
  <si>
    <t>Utilidades mes             (15 Días Año)</t>
  </si>
  <si>
    <t>Costos fjos Totales</t>
  </si>
  <si>
    <t>CAPACIDAD INSTALADA</t>
  </si>
  <si>
    <t>CUADRO 1</t>
  </si>
  <si>
    <t>CAPACIDAD INSTALADA Y UTILIZADA</t>
  </si>
  <si>
    <t>Base de Cálculo</t>
  </si>
  <si>
    <t>Primer Año</t>
  </si>
  <si>
    <t>Segundo Año</t>
  </si>
  <si>
    <t>Tercer Año</t>
  </si>
  <si>
    <t>Cuarto Año</t>
  </si>
  <si>
    <t>Quinto Año</t>
  </si>
  <si>
    <t>VOLUMEN DE PRODUCCION</t>
  </si>
  <si>
    <t>Capacidad Instalada</t>
  </si>
  <si>
    <t>en porcentaje</t>
  </si>
  <si>
    <t>por dia</t>
  </si>
  <si>
    <t>días por año</t>
  </si>
  <si>
    <t>Capacidad Utilizada</t>
  </si>
  <si>
    <t>por año</t>
  </si>
  <si>
    <t>Pérdida en el Proceso</t>
  </si>
  <si>
    <t>Capacidad Utilizada Neta</t>
  </si>
  <si>
    <t>Productos para la Venta</t>
  </si>
  <si>
    <t>PRODUCCION TOTAL</t>
  </si>
  <si>
    <t>Parámetros</t>
  </si>
  <si>
    <t>Porcentaje de cap.instalada por año</t>
  </si>
  <si>
    <t>de la capacidad total de la empresa</t>
  </si>
  <si>
    <t>Porcentaje de cap.instalada 1ero año</t>
  </si>
  <si>
    <t>de la capacidad instalada</t>
  </si>
  <si>
    <t>Pérdida promedio en el proceso</t>
  </si>
  <si>
    <t>de perdida en el proceso</t>
  </si>
  <si>
    <t xml:space="preserve">Turnos </t>
  </si>
  <si>
    <t>turno de trabajo por día</t>
  </si>
  <si>
    <t>Días laborables por mes</t>
  </si>
  <si>
    <t>días laborables por mes</t>
  </si>
  <si>
    <t>Meses por año</t>
  </si>
  <si>
    <t>meses del año</t>
  </si>
  <si>
    <t>Dias Laborables por año</t>
  </si>
  <si>
    <t>días laborables por año</t>
  </si>
  <si>
    <t>Sardina Aceite</t>
  </si>
  <si>
    <t>Sardina en Salsa de Tomate</t>
  </si>
  <si>
    <t>Saridina en Salsa Picante</t>
  </si>
  <si>
    <t>Sexto Año</t>
  </si>
  <si>
    <t>Septimo Año</t>
  </si>
  <si>
    <t>Octavo Año</t>
  </si>
  <si>
    <t>Noveno Año</t>
  </si>
  <si>
    <t>Décimo Año</t>
  </si>
  <si>
    <t>Porcentaje en Salsa Picante</t>
  </si>
  <si>
    <t>Porcentaje en Salsa de Tomate</t>
  </si>
  <si>
    <t>Número de envases promedio día x Línea</t>
  </si>
  <si>
    <t>Envases</t>
  </si>
  <si>
    <t>Número de cajas de 48 Unidades x línea</t>
  </si>
  <si>
    <t>Cajas</t>
  </si>
  <si>
    <t>Número de envases promedio día x 2 Línea</t>
  </si>
  <si>
    <t>Número de cajas de 48 Unidades x 2 línea</t>
  </si>
  <si>
    <t>Cuadro 2A</t>
  </si>
  <si>
    <t>ELEMENTOS DE INFRAESTRUCTURA Y ESTRUCTURA</t>
  </si>
  <si>
    <t>Unidad Utilizada</t>
  </si>
  <si>
    <t>Unidades Totales</t>
  </si>
  <si>
    <t>Costo Unitario</t>
  </si>
  <si>
    <t>Costo Total</t>
  </si>
  <si>
    <t>metro2</t>
  </si>
  <si>
    <t>Costo de Alquiler de galpón Oficina</t>
  </si>
  <si>
    <t>Cuadro 2C</t>
  </si>
  <si>
    <t>ESTUDIOS Y PROYECTOS</t>
  </si>
  <si>
    <t>Estudio de Mercado</t>
  </si>
  <si>
    <t>Estudio de Factibilidad</t>
  </si>
  <si>
    <t>Total Estudios</t>
  </si>
  <si>
    <t>Cuadro 2B</t>
  </si>
  <si>
    <t>Cuadro 4</t>
  </si>
  <si>
    <t>Valor de los Activos</t>
  </si>
  <si>
    <t>Años de Dep/Am</t>
  </si>
  <si>
    <t>Primer    Año</t>
  </si>
  <si>
    <t>Quinto     Año</t>
  </si>
  <si>
    <t>Depreciación</t>
  </si>
  <si>
    <t>Total Depreciación</t>
  </si>
  <si>
    <t>Equipos de Oficina</t>
  </si>
  <si>
    <t>Red informática y Artículos de Oficina</t>
  </si>
  <si>
    <t xml:space="preserve">TOTAL DEPREC. </t>
  </si>
  <si>
    <t>Porcentaje en Aceite</t>
  </si>
  <si>
    <t xml:space="preserve"> Sardina en Aceite Vegetal</t>
  </si>
  <si>
    <t>Sardina en Salsa de Tomate:</t>
  </si>
  <si>
    <t>Sardina en Salsa de Picante:</t>
  </si>
  <si>
    <t xml:space="preserve">                                             </t>
  </si>
  <si>
    <t>DESCRICPCIÓN</t>
  </si>
  <si>
    <t>CANTIDAD POR CAJA DE 48 UNIDADES</t>
  </si>
  <si>
    <t>COSTO POR KG./UNITARIO</t>
  </si>
  <si>
    <t>COSTO TOTAL</t>
  </si>
  <si>
    <t>SARDINAS</t>
  </si>
  <si>
    <t>ACEITE</t>
  </si>
  <si>
    <t>SAL</t>
  </si>
  <si>
    <t>AGUA</t>
  </si>
  <si>
    <t>ENVASE</t>
  </si>
  <si>
    <t>48 UNIDADES</t>
  </si>
  <si>
    <t>PLÁSTICO TERMOENCOGIBLE</t>
  </si>
  <si>
    <t>40 gr.</t>
  </si>
  <si>
    <t>ETIQUETA</t>
  </si>
  <si>
    <t>48  UNIDADES</t>
  </si>
  <si>
    <t>SEPARADOR</t>
  </si>
  <si>
    <t>1 UNIDAD</t>
  </si>
  <si>
    <t>TOTAL COSTOS VARIABLES</t>
  </si>
  <si>
    <t>PASTA DE TOMATE</t>
  </si>
  <si>
    <t>COLORANTE</t>
  </si>
  <si>
    <t>PICANTE</t>
  </si>
  <si>
    <t>Costo Variable</t>
  </si>
  <si>
    <t>% De Demanada</t>
  </si>
  <si>
    <t>Demanda Por Prodcuto en el Mercado</t>
  </si>
  <si>
    <t>MATERIA PRIMA</t>
  </si>
  <si>
    <t>Para cualquier de Producto</t>
  </si>
  <si>
    <t>Total Venta</t>
  </si>
  <si>
    <t xml:space="preserve">   Precio de Venta Regulado </t>
  </si>
  <si>
    <t xml:space="preserve">   Incremento Histórico del Producto interanual</t>
  </si>
  <si>
    <t>COSTOS FIJOS</t>
  </si>
  <si>
    <t>COSTOS VARIABLES</t>
  </si>
  <si>
    <t xml:space="preserve">Parámetros </t>
  </si>
  <si>
    <t>Inflación Interanual</t>
  </si>
  <si>
    <t>Según el BCV</t>
  </si>
  <si>
    <t>3er Año</t>
  </si>
  <si>
    <t>4to Año</t>
  </si>
  <si>
    <t>5to Año</t>
  </si>
  <si>
    <t>6to año</t>
  </si>
  <si>
    <t>7mo año</t>
  </si>
  <si>
    <t>8vo Año</t>
  </si>
  <si>
    <t>1er Año</t>
  </si>
  <si>
    <t>2do Año</t>
  </si>
  <si>
    <t>9no Año</t>
  </si>
  <si>
    <t>10mo Año</t>
  </si>
  <si>
    <t>Ventas Netas</t>
  </si>
  <si>
    <t>Incrementos de Costos Administrativos Interanual</t>
  </si>
  <si>
    <t>mensual</t>
  </si>
  <si>
    <t>anual</t>
  </si>
  <si>
    <t>Maquinarias</t>
  </si>
  <si>
    <t>INVERSION TOTAL</t>
  </si>
  <si>
    <t>INVERSIÓN TOTAL</t>
  </si>
  <si>
    <t>Aporte Propio</t>
  </si>
  <si>
    <t>Aporte de Terceros</t>
  </si>
  <si>
    <t>Aporte Total</t>
  </si>
  <si>
    <t>Activos Fijos</t>
  </si>
  <si>
    <t>Obras Civiles</t>
  </si>
  <si>
    <t>Mobiliario y Equipos de Ofic.</t>
  </si>
  <si>
    <t>Maquinarias y Equipos</t>
  </si>
  <si>
    <t>Total Activos Fijos</t>
  </si>
  <si>
    <t>Estudios</t>
  </si>
  <si>
    <t>TOTAL ACTIVOS (A+B)</t>
  </si>
  <si>
    <t>A</t>
  </si>
  <si>
    <t>B</t>
  </si>
  <si>
    <t>C</t>
  </si>
  <si>
    <t>D</t>
  </si>
  <si>
    <t>E</t>
  </si>
  <si>
    <t>Capital de Trabajo</t>
  </si>
  <si>
    <t>Otros inversiones</t>
  </si>
  <si>
    <t>Total Otras Inversiones</t>
  </si>
  <si>
    <t xml:space="preserve">DEPRECIACION </t>
  </si>
  <si>
    <t xml:space="preserve">Cancelación Capital de trabajo </t>
  </si>
  <si>
    <t>Cancelación Activos Fijos</t>
  </si>
  <si>
    <t>años</t>
  </si>
  <si>
    <t>Tasa de Interés</t>
  </si>
  <si>
    <t>Anual</t>
  </si>
  <si>
    <t>Capital de trabajo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</si>
  <si>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</si>
  <si>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</si>
  <si>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</si>
  <si>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</si>
  <si>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</si>
  <si>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</si>
  <si>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</si>
  <si>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</si>
  <si>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</si>
  <si>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</si>
  <si>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</si>
  <si>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</si>
  <si>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Monto</t>
  </si>
  <si>
    <t>Intereses</t>
  </si>
  <si>
    <t>Cuota Fija</t>
  </si>
  <si>
    <t>Pago de Capital de trabajo</t>
  </si>
  <si>
    <t>Total 1er año</t>
  </si>
  <si>
    <t>Resto</t>
  </si>
  <si>
    <t>Total Pago Inte + Cuota Fija</t>
  </si>
  <si>
    <t>Pago de Activos Fijos</t>
  </si>
  <si>
    <t>Capital Activos</t>
  </si>
  <si>
    <t>Pagos Capital de Trabajo + Activos a Terceros</t>
  </si>
  <si>
    <t>Margen Bruto - (Depreciación+Pagos a Terceros)</t>
  </si>
  <si>
    <t>Costos Fijos</t>
  </si>
  <si>
    <t>% de Rentabilidad Por Producto</t>
  </si>
  <si>
    <t>Sardina Salsa de Tomate</t>
  </si>
  <si>
    <t>Sardina Salsa Picante</t>
  </si>
  <si>
    <t>% de Mercado por Producto</t>
  </si>
  <si>
    <t>PE</t>
  </si>
  <si>
    <t>Costos Variables año</t>
  </si>
  <si>
    <t>Valor</t>
  </si>
  <si>
    <t>PUNTO DE EQUILIBRIO</t>
  </si>
  <si>
    <t>SENSIBILIDAD</t>
  </si>
  <si>
    <t>VALOR PRESENTE NETO</t>
  </si>
  <si>
    <t>VPN=</t>
  </si>
  <si>
    <t>FNC= FLUJO NETO DE CAJA</t>
  </si>
  <si>
    <t>K= TASA DE INTERES PERIODICA</t>
  </si>
  <si>
    <t>N= NUMERO DE PERIODOS CONSIDERADOS EN EL PROYECTO</t>
  </si>
  <si>
    <t>(FNC / (1+K) + FNC2 / (1+K)^2 + …..FNCn / (1+K)^n)-1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</si>
  <si>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</si>
  <si>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</si>
  <si>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</si>
  <si>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</si>
  <si>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</si>
  <si>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</si>
  <si>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</si>
  <si>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</si>
  <si>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</si>
  <si>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</si>
  <si>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K</t>
  </si>
  <si>
    <t>VPN</t>
  </si>
  <si>
    <t>TASA INTERNA DE RETORNO</t>
  </si>
  <si>
    <t xml:space="preserve">DESCUENTO DE PRECIOS DE 10% DE VALOR PROYECTADO </t>
  </si>
  <si>
    <t>VENTAS</t>
  </si>
  <si>
    <t>DEPRECIACIÓN</t>
  </si>
  <si>
    <t>TOTAL COSTOS</t>
  </si>
  <si>
    <t>PAGO DE INTERESES</t>
  </si>
  <si>
    <t>TASA DE DESCUENTO</t>
  </si>
  <si>
    <t xml:space="preserve">DESCUENTO DE PRECIOS DE 20% DE VALOR PROYECTADO </t>
  </si>
  <si>
    <t>TIR</t>
  </si>
  <si>
    <t>RENTABILIDAD (FNC)</t>
  </si>
  <si>
    <t xml:space="preserve">TIR≥TASA DE DESCUENTO IMPLICA QUE EL PROYECTO ES FACTIBLE, tomado en cosideración descuentos de precios entre un 20% a 25% </t>
  </si>
  <si>
    <t>CUADRO 8</t>
  </si>
  <si>
    <t>INGRESOS</t>
  </si>
  <si>
    <t>CUADRO 9: GASTOS DE FABRICACIÓN</t>
  </si>
  <si>
    <t>CUADRO 10: ESTADO DE RESULTADOS</t>
  </si>
</sst>
</file>

<file path=xl/styles.xml><?xml version="1.0" encoding="utf-8"?>
<styleSheet xmlns="http://schemas.openxmlformats.org/spreadsheetml/2006/main">
  <numFmts count="6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.0"/>
    <numFmt numFmtId="203" formatCode="#,##0.000"/>
    <numFmt numFmtId="204" formatCode="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#,##0.0000000000"/>
    <numFmt numFmtId="210" formatCode="#,##0.000000"/>
    <numFmt numFmtId="211" formatCode="[$$-409]#,##0.00"/>
    <numFmt numFmtId="212" formatCode="&quot;Bs&quot;\ #,##0.00"/>
    <numFmt numFmtId="213" formatCode="&quot;$&quot;#,##0"/>
    <numFmt numFmtId="214" formatCode="[$VEB]\ #,##0"/>
    <numFmt numFmtId="215" formatCode="[$VEB]\ #,##0.00"/>
    <numFmt numFmtId="216" formatCode="&quot;Bs&quot;\ #,##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\ &quot;Kg&quot;"/>
    <numFmt numFmtId="222" formatCode="0.000\ &quot;Kg&quot;"/>
    <numFmt numFmtId="223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07" fontId="5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212" fontId="0" fillId="0" borderId="1" xfId="0" applyNumberFormat="1" applyBorder="1" applyAlignment="1" applyProtection="1">
      <alignment/>
      <protection locked="0"/>
    </xf>
    <xf numFmtId="212" fontId="0" fillId="0" borderId="1" xfId="0" applyNumberForma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0" xfId="0" applyNumberFormat="1" applyAlignment="1" applyProtection="1">
      <alignment/>
      <protection locked="0"/>
    </xf>
    <xf numFmtId="212" fontId="0" fillId="0" borderId="0" xfId="0" applyNumberFormat="1" applyAlignment="1">
      <alignment/>
    </xf>
    <xf numFmtId="212" fontId="1" fillId="3" borderId="1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6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16" fontId="1" fillId="5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wrapText="1"/>
    </xf>
    <xf numFmtId="10" fontId="1" fillId="5" borderId="0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wrapText="1"/>
    </xf>
    <xf numFmtId="0" fontId="0" fillId="6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9" fillId="7" borderId="0" xfId="0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0" fontId="0" fillId="7" borderId="9" xfId="0" applyFill="1" applyBorder="1" applyAlignment="1">
      <alignment/>
    </xf>
    <xf numFmtId="0" fontId="0" fillId="7" borderId="7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 indent="1"/>
    </xf>
    <xf numFmtId="0" fontId="0" fillId="2" borderId="10" xfId="0" applyFill="1" applyBorder="1" applyAlignment="1">
      <alignment horizontal="left" indent="2"/>
    </xf>
    <xf numFmtId="0" fontId="0" fillId="2" borderId="10" xfId="0" applyFont="1" applyFill="1" applyBorder="1" applyAlignment="1">
      <alignment horizontal="left" indent="2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8" fillId="8" borderId="12" xfId="0" applyFont="1" applyFill="1" applyBorder="1" applyAlignment="1">
      <alignment horizontal="center" wrapText="1"/>
    </xf>
    <xf numFmtId="0" fontId="0" fillId="8" borderId="0" xfId="0" applyFill="1" applyBorder="1" applyAlignment="1">
      <alignment/>
    </xf>
    <xf numFmtId="9" fontId="9" fillId="8" borderId="0" xfId="0" applyNumberFormat="1" applyFont="1" applyFill="1" applyBorder="1" applyAlignment="1">
      <alignment horizontal="right"/>
    </xf>
    <xf numFmtId="9" fontId="0" fillId="8" borderId="0" xfId="0" applyNumberFormat="1" applyFill="1" applyBorder="1" applyAlignment="1">
      <alignment/>
    </xf>
    <xf numFmtId="3" fontId="9" fillId="8" borderId="0" xfId="0" applyNumberFormat="1" applyFont="1" applyFill="1" applyBorder="1" applyAlignment="1">
      <alignment horizontal="right"/>
    </xf>
    <xf numFmtId="3" fontId="0" fillId="8" borderId="0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9" fillId="8" borderId="0" xfId="0" applyFont="1" applyFill="1" applyBorder="1" applyAlignment="1">
      <alignment horizontal="right"/>
    </xf>
    <xf numFmtId="3" fontId="1" fillId="8" borderId="14" xfId="0" applyNumberFormat="1" applyFont="1" applyFill="1" applyBorder="1" applyAlignment="1">
      <alignment/>
    </xf>
    <xf numFmtId="10" fontId="9" fillId="8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0" fillId="5" borderId="9" xfId="0" applyNumberFormat="1" applyFill="1" applyBorder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3" fontId="1" fillId="5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221" fontId="0" fillId="0" borderId="1" xfId="0" applyNumberFormat="1" applyBorder="1" applyAlignment="1">
      <alignment/>
    </xf>
    <xf numFmtId="222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center" wrapText="1"/>
    </xf>
    <xf numFmtId="0" fontId="0" fillId="8" borderId="8" xfId="0" applyFill="1" applyBorder="1" applyAlignment="1">
      <alignment/>
    </xf>
    <xf numFmtId="9" fontId="0" fillId="8" borderId="8" xfId="0" applyNumberFormat="1" applyFill="1" applyBorder="1" applyAlignment="1">
      <alignment/>
    </xf>
    <xf numFmtId="3" fontId="0" fillId="8" borderId="8" xfId="0" applyNumberFormat="1" applyFill="1" applyBorder="1" applyAlignment="1">
      <alignment/>
    </xf>
    <xf numFmtId="3" fontId="0" fillId="8" borderId="17" xfId="0" applyNumberForma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216" fontId="9" fillId="7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216" fontId="0" fillId="5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212" fontId="2" fillId="5" borderId="0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216" fontId="0" fillId="5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 indent="1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left" indent="1"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212" fontId="0" fillId="0" borderId="1" xfId="0" applyNumberFormat="1" applyFon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1" xfId="0" applyNumberFormat="1" applyFont="1" applyBorder="1" applyAlignment="1">
      <alignment/>
    </xf>
    <xf numFmtId="216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" fillId="0" borderId="24" xfId="17" applyFont="1" applyFill="1" applyBorder="1" applyAlignment="1">
      <alignment/>
    </xf>
    <xf numFmtId="207" fontId="0" fillId="0" borderId="0" xfId="17" applyNumberFormat="1" applyFill="1" applyBorder="1" applyAlignment="1">
      <alignment/>
    </xf>
    <xf numFmtId="207" fontId="0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7" fontId="1" fillId="0" borderId="0" xfId="17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3" fontId="1" fillId="0" borderId="26" xfId="17" applyFont="1" applyFill="1" applyBorder="1" applyAlignment="1">
      <alignment/>
    </xf>
    <xf numFmtId="3" fontId="0" fillId="0" borderId="0" xfId="0" applyNumberFormat="1" applyFill="1" applyAlignment="1">
      <alignment/>
    </xf>
    <xf numFmtId="216" fontId="0" fillId="0" borderId="0" xfId="0" applyNumberFormat="1" applyAlignment="1">
      <alignment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8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207" fontId="0" fillId="0" borderId="25" xfId="17" applyNumberFormat="1" applyFont="1" applyFill="1" applyBorder="1" applyAlignment="1">
      <alignment/>
    </xf>
    <xf numFmtId="207" fontId="0" fillId="0" borderId="25" xfId="17" applyNumberFormat="1" applyFill="1" applyBorder="1" applyAlignment="1">
      <alignment/>
    </xf>
    <xf numFmtId="207" fontId="1" fillId="0" borderId="30" xfId="17" applyNumberFormat="1" applyFont="1" applyFill="1" applyBorder="1" applyAlignment="1">
      <alignment/>
    </xf>
    <xf numFmtId="43" fontId="1" fillId="0" borderId="30" xfId="17" applyFont="1" applyFill="1" applyBorder="1" applyAlignment="1">
      <alignment/>
    </xf>
    <xf numFmtId="3" fontId="1" fillId="9" borderId="7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207" fontId="0" fillId="0" borderId="32" xfId="17" applyNumberFormat="1" applyFont="1" applyFill="1" applyBorder="1" applyAlignment="1">
      <alignment/>
    </xf>
    <xf numFmtId="207" fontId="0" fillId="0" borderId="32" xfId="17" applyNumberFormat="1" applyFill="1" applyBorder="1" applyAlignment="1">
      <alignment/>
    </xf>
    <xf numFmtId="207" fontId="1" fillId="0" borderId="33" xfId="17" applyNumberFormat="1" applyFont="1" applyFill="1" applyBorder="1" applyAlignment="1">
      <alignment/>
    </xf>
    <xf numFmtId="43" fontId="1" fillId="0" borderId="33" xfId="17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3" fontId="1" fillId="0" borderId="34" xfId="17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/>
    </xf>
    <xf numFmtId="0" fontId="8" fillId="0" borderId="15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3" fontId="1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3" fontId="0" fillId="0" borderId="36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8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43" fontId="1" fillId="0" borderId="37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17" fontId="2" fillId="0" borderId="0" xfId="0" applyNumberFormat="1" applyFont="1" applyFill="1" applyAlignment="1">
      <alignment horizontal="center"/>
    </xf>
    <xf numFmtId="22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216" fontId="1" fillId="0" borderId="0" xfId="0" applyNumberFormat="1" applyFont="1" applyAlignment="1">
      <alignment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11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11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showGridLines="0" workbookViewId="0" topLeftCell="D15">
      <selection activeCell="O32" sqref="O32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2.140625" style="0" customWidth="1"/>
  </cols>
  <sheetData>
    <row r="2" spans="2:13" ht="12.75">
      <c r="B2" s="220"/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87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88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24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 aca="true" t="shared" si="1" ref="D17:M17">+D16*20*12</f>
        <v>27648000</v>
      </c>
      <c r="E17" s="67">
        <f t="shared" si="1"/>
        <v>27648000</v>
      </c>
      <c r="F17" s="67">
        <f t="shared" si="1"/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f>+C37</f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106</v>
      </c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2:13" ht="12.75">
      <c r="B31" s="59" t="s">
        <v>107</v>
      </c>
      <c r="C31" s="49">
        <v>1</v>
      </c>
      <c r="D31" s="46" t="s">
        <v>108</v>
      </c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9" t="s">
        <v>109</v>
      </c>
      <c r="C32" s="49">
        <v>1</v>
      </c>
      <c r="D32" s="46" t="s">
        <v>110</v>
      </c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9" t="s">
        <v>131</v>
      </c>
      <c r="C33" s="50">
        <f>120*60*8</f>
        <v>57600</v>
      </c>
      <c r="D33" s="46" t="s">
        <v>132</v>
      </c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59" t="s">
        <v>133</v>
      </c>
      <c r="C34" s="50">
        <f>+C33/48</f>
        <v>1200</v>
      </c>
      <c r="D34" s="46" t="s">
        <v>134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59" t="s">
        <v>135</v>
      </c>
      <c r="C35" s="50">
        <f>+C33*2</f>
        <v>115200</v>
      </c>
      <c r="D35" s="46" t="s">
        <v>132</v>
      </c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136</v>
      </c>
      <c r="C36" s="50">
        <f>+C34*2</f>
        <v>2400</v>
      </c>
      <c r="D36" s="46" t="s">
        <v>134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111</v>
      </c>
      <c r="C37" s="71">
        <v>0.001</v>
      </c>
      <c r="D37" s="46" t="s">
        <v>112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2.75">
      <c r="B38" s="59" t="s">
        <v>161</v>
      </c>
      <c r="C38" s="49">
        <v>0.7</v>
      </c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2:13" ht="12.75">
      <c r="B39" s="59" t="s">
        <v>130</v>
      </c>
      <c r="C39" s="49">
        <v>0.2</v>
      </c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2:13" ht="12.75">
      <c r="B40" s="59" t="s">
        <v>129</v>
      </c>
      <c r="C40" s="49">
        <v>0.1</v>
      </c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ht="12.75">
      <c r="B41" s="59" t="s">
        <v>113</v>
      </c>
      <c r="C41" s="50">
        <v>1</v>
      </c>
      <c r="D41" s="46" t="s">
        <v>114</v>
      </c>
      <c r="E41" s="46"/>
      <c r="F41" s="46"/>
      <c r="G41" s="46"/>
      <c r="H41" s="46"/>
      <c r="I41" s="46"/>
      <c r="J41" s="46"/>
      <c r="K41" s="46"/>
      <c r="L41" s="46"/>
      <c r="M41" s="47"/>
    </row>
    <row r="42" spans="2:13" ht="12.75">
      <c r="B42" s="59" t="s">
        <v>115</v>
      </c>
      <c r="C42" s="50">
        <v>20</v>
      </c>
      <c r="D42" s="46" t="s">
        <v>116</v>
      </c>
      <c r="E42" s="46"/>
      <c r="F42" s="46"/>
      <c r="G42" s="46"/>
      <c r="H42" s="46"/>
      <c r="I42" s="46"/>
      <c r="J42" s="46"/>
      <c r="K42" s="46"/>
      <c r="L42" s="46"/>
      <c r="M42" s="47"/>
    </row>
    <row r="43" spans="2:13" ht="12.75">
      <c r="B43" s="59" t="s">
        <v>117</v>
      </c>
      <c r="C43" s="50">
        <v>12</v>
      </c>
      <c r="D43" s="46" t="s">
        <v>118</v>
      </c>
      <c r="E43" s="46"/>
      <c r="F43" s="46"/>
      <c r="G43" s="46"/>
      <c r="H43" s="46"/>
      <c r="I43" s="46"/>
      <c r="J43" s="46"/>
      <c r="K43" s="46"/>
      <c r="L43" s="46"/>
      <c r="M43" s="47"/>
    </row>
    <row r="44" spans="2:13" ht="13.5" thickBot="1">
      <c r="B44" s="60" t="s">
        <v>119</v>
      </c>
      <c r="C44" s="51">
        <f>+C42*C43</f>
        <v>240</v>
      </c>
      <c r="D44" s="52" t="s">
        <v>120</v>
      </c>
      <c r="E44" s="52"/>
      <c r="F44" s="52"/>
      <c r="G44" s="52"/>
      <c r="H44" s="52"/>
      <c r="I44" s="52"/>
      <c r="J44" s="52"/>
      <c r="K44" s="52"/>
      <c r="L44" s="52"/>
      <c r="M44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8"/>
  <sheetViews>
    <sheetView showGridLines="0" workbookViewId="0" topLeftCell="B9">
      <selection activeCell="F46" sqref="F46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7.421875" style="0" customWidth="1"/>
    <col min="5" max="13" width="16.7109375" style="0" bestFit="1" customWidth="1"/>
  </cols>
  <sheetData>
    <row r="2" spans="2:13" ht="12.75">
      <c r="B2" s="220" t="s">
        <v>86</v>
      </c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303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304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12.75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>+D16*C36*12</f>
        <v>27648000</v>
      </c>
      <c r="E17" s="67">
        <f>+E16*$C$36*12</f>
        <v>27648000</v>
      </c>
      <c r="F17" s="67">
        <f aca="true" t="shared" si="1" ref="F17:M17">+F16*$C$36*12</f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191</v>
      </c>
      <c r="C30" s="48"/>
      <c r="D30" s="126">
        <f>+D28*$C$34</f>
        <v>10527497164.799997</v>
      </c>
      <c r="E30" s="126">
        <f>+E28*$C$34+E28*$C$34*C35</f>
        <v>15176002406.399998</v>
      </c>
      <c r="F30" s="126">
        <f>+E30+E30*C35</f>
        <v>16845362671.103998</v>
      </c>
      <c r="G30" s="126">
        <f>+F30+F30*C35</f>
        <v>18698352564.925438</v>
      </c>
      <c r="H30" s="126">
        <f>+G30+G30*C35</f>
        <v>20755171347.067238</v>
      </c>
      <c r="I30" s="126">
        <f>+H30+H30*C35</f>
        <v>23038240195.244633</v>
      </c>
      <c r="J30" s="126">
        <f>+I30+I30*C35</f>
        <v>25572446616.721542</v>
      </c>
      <c r="K30" s="126">
        <f>+J30+J30*C35</f>
        <v>28385415744.560913</v>
      </c>
      <c r="L30" s="126">
        <f>+K30+K30*C35</f>
        <v>31507811476.462612</v>
      </c>
      <c r="M30" s="135">
        <f>+L30+L30*C35</f>
        <v>34973670738.8735</v>
      </c>
    </row>
    <row r="31" spans="2:13" ht="12.75">
      <c r="B31" s="55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5"/>
      <c r="C32" s="124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5" t="s">
        <v>106</v>
      </c>
      <c r="C33" s="124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125" t="s">
        <v>192</v>
      </c>
      <c r="C34" s="124">
        <v>495</v>
      </c>
      <c r="D34" s="46" t="s">
        <v>190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125" t="s">
        <v>193</v>
      </c>
      <c r="C35" s="49">
        <v>0.11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115</v>
      </c>
      <c r="C36" s="50">
        <v>20</v>
      </c>
      <c r="D36" s="46" t="s">
        <v>116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117</v>
      </c>
      <c r="C37" s="50">
        <v>12</v>
      </c>
      <c r="D37" s="46" t="s">
        <v>118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3.5" thickBot="1">
      <c r="B38" s="60" t="s">
        <v>119</v>
      </c>
      <c r="C38" s="51">
        <f>+C36*C37</f>
        <v>240</v>
      </c>
      <c r="D38" s="52" t="s">
        <v>120</v>
      </c>
      <c r="E38" s="52"/>
      <c r="F38" s="52"/>
      <c r="G38" s="52"/>
      <c r="H38" s="52"/>
      <c r="I38" s="52"/>
      <c r="J38" s="52"/>
      <c r="K38" s="52"/>
      <c r="L38" s="52"/>
      <c r="M38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showGridLines="0" workbookViewId="0" topLeftCell="B1">
      <selection activeCell="G16" sqref="G16"/>
    </sheetView>
  </sheetViews>
  <sheetFormatPr defaultColWidth="11.421875" defaultRowHeight="12.75"/>
  <cols>
    <col min="2" max="2" width="26.00390625" style="0" customWidth="1"/>
    <col min="3" max="3" width="20.7109375" style="0" customWidth="1"/>
    <col min="4" max="5" width="15.57421875" style="0" bestFit="1" customWidth="1"/>
    <col min="7" max="7" width="14.28125" style="0" bestFit="1" customWidth="1"/>
    <col min="8" max="8" width="14.00390625" style="0" bestFit="1" customWidth="1"/>
    <col min="9" max="9" width="15.57421875" style="0" bestFit="1" customWidth="1"/>
  </cols>
  <sheetData>
    <row r="1" spans="3:6" ht="12.75">
      <c r="C1" s="249" t="s">
        <v>305</v>
      </c>
      <c r="D1" s="249"/>
      <c r="E1" s="249"/>
      <c r="F1" s="249"/>
    </row>
    <row r="2" ht="13.5" thickBot="1"/>
    <row r="3" spans="2:9" ht="13.5" thickBot="1">
      <c r="B3" s="227" t="s">
        <v>194</v>
      </c>
      <c r="C3" s="228"/>
      <c r="D3" s="228"/>
      <c r="E3" s="229"/>
      <c r="G3" s="227" t="s">
        <v>195</v>
      </c>
      <c r="H3" s="228"/>
      <c r="I3" s="229"/>
    </row>
    <row r="4" spans="2:9" ht="38.25">
      <c r="B4" s="116" t="s">
        <v>39</v>
      </c>
      <c r="C4" s="116" t="s">
        <v>23</v>
      </c>
      <c r="D4" s="116" t="s">
        <v>40</v>
      </c>
      <c r="E4" s="116" t="s">
        <v>41</v>
      </c>
      <c r="G4" s="116" t="s">
        <v>32</v>
      </c>
      <c r="H4" s="116" t="s">
        <v>33</v>
      </c>
      <c r="I4" s="116" t="s">
        <v>34</v>
      </c>
    </row>
    <row r="5" spans="2:9" ht="25.5">
      <c r="B5" s="24" t="s">
        <v>42</v>
      </c>
      <c r="C5" s="16"/>
      <c r="D5" s="152"/>
      <c r="E5" s="16">
        <f>+'Cuadro 6'!L5+'Cuadro 6'!L9+'Cuadro 6'!L12+'Cuadro 6'!L13+'Cuadro 6'!L10+'Cuadro 6'!L11</f>
        <v>37879986.51527777</v>
      </c>
      <c r="G5" s="24" t="s">
        <v>35</v>
      </c>
      <c r="H5" s="22">
        <f>+'Cuadro 7'!H26</f>
        <v>556255526.4</v>
      </c>
      <c r="I5" s="22">
        <f>16555*20*70%*2400*12</f>
        <v>6674975999.999998</v>
      </c>
    </row>
    <row r="6" spans="2:9" ht="38.25">
      <c r="B6" s="24" t="s">
        <v>43</v>
      </c>
      <c r="C6" s="16"/>
      <c r="D6" s="152">
        <f>+'Cuadro 6'!L4+'Cuadro 6'!L6+'Cuadro 6'!L7+'Cuadro 6'!L8</f>
        <v>12925600.000000002</v>
      </c>
      <c r="E6" s="16"/>
      <c r="G6" s="24" t="s">
        <v>36</v>
      </c>
      <c r="H6" s="22">
        <f>+'Cuadro 7'!H27</f>
        <v>162987955.2</v>
      </c>
      <c r="I6" s="22">
        <f>16978*20*20%*2400*12</f>
        <v>1955865600</v>
      </c>
    </row>
    <row r="7" spans="2:9" ht="38.25">
      <c r="B7" s="24" t="s">
        <v>44</v>
      </c>
      <c r="C7" s="16">
        <f>3500*1200</f>
        <v>4200000</v>
      </c>
      <c r="D7" s="152">
        <f>5%*C7</f>
        <v>210000</v>
      </c>
      <c r="E7" s="16">
        <f>+C7*95%</f>
        <v>3990000</v>
      </c>
      <c r="G7" s="24" t="s">
        <v>37</v>
      </c>
      <c r="H7" s="22">
        <f>+'Cuadro 7'!H28</f>
        <v>82199001.60000001</v>
      </c>
      <c r="I7" s="22">
        <f>17125*20*10%*2400*12</f>
        <v>986400000</v>
      </c>
    </row>
    <row r="8" spans="2:9" ht="12.75">
      <c r="B8" s="24" t="s">
        <v>45</v>
      </c>
      <c r="C8" s="16">
        <v>600000</v>
      </c>
      <c r="D8" s="152">
        <f>+C8</f>
        <v>600000</v>
      </c>
      <c r="E8" s="16"/>
      <c r="G8" s="25" t="s">
        <v>38</v>
      </c>
      <c r="H8" s="26">
        <f>SUM(H5:H7)</f>
        <v>801442483.1999999</v>
      </c>
      <c r="I8" s="26">
        <f>SUM(I5:I7)</f>
        <v>9617241599.999998</v>
      </c>
    </row>
    <row r="9" spans="2:5" ht="12.75">
      <c r="B9" s="24" t="s">
        <v>46</v>
      </c>
      <c r="C9" s="16"/>
      <c r="D9" s="152"/>
      <c r="E9" s="16">
        <v>40000</v>
      </c>
    </row>
    <row r="10" spans="2:5" ht="12.75">
      <c r="B10" s="24" t="s">
        <v>47</v>
      </c>
      <c r="C10" s="16">
        <v>300000</v>
      </c>
      <c r="D10" s="152">
        <f>+C10*5%</f>
        <v>15000</v>
      </c>
      <c r="E10" s="16">
        <f>+C10*95%</f>
        <v>285000</v>
      </c>
    </row>
    <row r="11" spans="2:5" ht="25.5">
      <c r="B11" s="24" t="s">
        <v>48</v>
      </c>
      <c r="C11" s="16">
        <v>200000</v>
      </c>
      <c r="D11" s="152"/>
      <c r="E11" s="16">
        <f>+C11</f>
        <v>200000</v>
      </c>
    </row>
    <row r="12" spans="2:5" ht="12.75">
      <c r="B12" s="24" t="s">
        <v>49</v>
      </c>
      <c r="C12" s="16">
        <f>+'Cuadro 8'!D30*0.14%</f>
        <v>14738496.03072</v>
      </c>
      <c r="D12" s="152">
        <f>+C12</f>
        <v>14738496.03072</v>
      </c>
      <c r="E12" s="16"/>
    </row>
    <row r="13" spans="2:5" ht="12.75">
      <c r="B13" s="24" t="s">
        <v>74</v>
      </c>
      <c r="C13" s="16">
        <v>200000</v>
      </c>
      <c r="D13" s="152"/>
      <c r="E13" s="16">
        <f>+C13</f>
        <v>200000</v>
      </c>
    </row>
    <row r="14" spans="2:7" ht="12.75">
      <c r="B14" s="24" t="s">
        <v>75</v>
      </c>
      <c r="C14" s="16">
        <v>600000</v>
      </c>
      <c r="D14" s="152"/>
      <c r="E14" s="16">
        <f>+C14</f>
        <v>600000</v>
      </c>
      <c r="G14" s="169"/>
    </row>
    <row r="15" spans="2:5" ht="12.75">
      <c r="B15" s="24" t="s">
        <v>76</v>
      </c>
      <c r="C15" s="16">
        <v>500000</v>
      </c>
      <c r="D15" s="152"/>
      <c r="E15" s="16">
        <v>1000000</v>
      </c>
    </row>
    <row r="16" spans="2:5" ht="12.75">
      <c r="B16" s="24" t="s">
        <v>77</v>
      </c>
      <c r="C16" s="16">
        <v>500000</v>
      </c>
      <c r="D16" s="152">
        <f>+C16</f>
        <v>500000</v>
      </c>
      <c r="E16" s="16"/>
    </row>
    <row r="17" spans="2:5" ht="12.75">
      <c r="B17" s="127" t="s">
        <v>50</v>
      </c>
      <c r="C17" s="16"/>
      <c r="D17" s="153">
        <f>SUM(D5:D16)</f>
        <v>28989096.030720003</v>
      </c>
      <c r="E17" s="16"/>
    </row>
    <row r="18" spans="2:5" ht="12.75">
      <c r="B18" s="127" t="s">
        <v>51</v>
      </c>
      <c r="C18" s="16"/>
      <c r="D18" s="154"/>
      <c r="E18" s="17">
        <f>SUM(E5:E16)</f>
        <v>44194986.51527777</v>
      </c>
    </row>
    <row r="19" spans="2:5" ht="12.75">
      <c r="B19" s="25" t="s">
        <v>85</v>
      </c>
      <c r="C19" s="26">
        <f>+D17+E18</f>
        <v>73184082.54599777</v>
      </c>
      <c r="D19" s="155">
        <f>C19*12</f>
        <v>878208990.5519732</v>
      </c>
      <c r="E19" s="26"/>
    </row>
    <row r="20" spans="3:4" ht="12.75">
      <c r="C20" s="134" t="s">
        <v>211</v>
      </c>
      <c r="D20" s="156" t="s">
        <v>212</v>
      </c>
    </row>
  </sheetData>
  <mergeCells count="3">
    <mergeCell ref="B3:E3"/>
    <mergeCell ref="G3:I3"/>
    <mergeCell ref="C1:F1"/>
  </mergeCells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K56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A4" sqref="A4"/>
    </sheetView>
  </sheetViews>
  <sheetFormatPr defaultColWidth="11.421875" defaultRowHeight="12.75"/>
  <cols>
    <col min="1" max="1" width="38.28125" style="0" customWidth="1"/>
    <col min="2" max="3" width="20.28125" style="0" bestFit="1" customWidth="1"/>
    <col min="4" max="4" width="20.85156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306</v>
      </c>
      <c r="B3" s="250"/>
      <c r="C3" s="250"/>
      <c r="D3" s="250"/>
      <c r="E3" s="250"/>
      <c r="F3" s="250"/>
      <c r="G3" s="250"/>
      <c r="H3" s="250"/>
      <c r="I3" s="250"/>
      <c r="J3" s="250"/>
    </row>
    <row r="5" ht="12.75">
      <c r="J5" s="2" t="s">
        <v>0</v>
      </c>
    </row>
    <row r="6" spans="1:11" s="12" customFormat="1" ht="12.75">
      <c r="A6" s="29"/>
      <c r="B6" s="30" t="s">
        <v>205</v>
      </c>
      <c r="C6" s="30" t="s">
        <v>206</v>
      </c>
      <c r="D6" s="30" t="s">
        <v>199</v>
      </c>
      <c r="E6" s="30" t="s">
        <v>200</v>
      </c>
      <c r="F6" s="30" t="s">
        <v>201</v>
      </c>
      <c r="G6" s="30" t="s">
        <v>202</v>
      </c>
      <c r="H6" s="30" t="s">
        <v>203</v>
      </c>
      <c r="I6" s="30" t="s">
        <v>204</v>
      </c>
      <c r="J6" s="30" t="s">
        <v>207</v>
      </c>
      <c r="K6" s="30" t="s">
        <v>208</v>
      </c>
    </row>
    <row r="7" spans="1:11" ht="12.75">
      <c r="A7" s="28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0" ht="12.75">
      <c r="A8" s="28"/>
      <c r="J8"/>
    </row>
    <row r="9" spans="1:11" ht="12.75">
      <c r="A9" s="28" t="s">
        <v>2</v>
      </c>
      <c r="B9" s="3">
        <f>+'Cuadro 8'!D30</f>
        <v>10527497164.799997</v>
      </c>
      <c r="C9" s="3">
        <f>+'Cuadro 8'!E30</f>
        <v>15176002406.399998</v>
      </c>
      <c r="D9" s="3">
        <f>+'Cuadro 8'!F30</f>
        <v>16845362671.103998</v>
      </c>
      <c r="E9" s="3">
        <f>+'Cuadro 8'!G30</f>
        <v>18698352564.925438</v>
      </c>
      <c r="F9" s="3">
        <f>+'Cuadro 8'!H30</f>
        <v>20755171347.067238</v>
      </c>
      <c r="G9" s="3">
        <f>+'Cuadro 8'!I30</f>
        <v>23038240195.244633</v>
      </c>
      <c r="H9" s="3">
        <f>+'Cuadro 8'!J30</f>
        <v>25572446616.721542</v>
      </c>
      <c r="I9" s="3">
        <f>+'Cuadro 8'!K30</f>
        <v>28385415744.560913</v>
      </c>
      <c r="J9" s="3">
        <f>+'Cuadro 8'!L30</f>
        <v>31507811476.462612</v>
      </c>
      <c r="K9" s="3">
        <f>+'Cuadro 8'!M30</f>
        <v>34973670738.8735</v>
      </c>
    </row>
    <row r="10" spans="1:10" ht="12.75">
      <c r="A10" s="28"/>
      <c r="J10"/>
    </row>
    <row r="11" spans="1:11" ht="12.75">
      <c r="A11" s="28" t="s">
        <v>4</v>
      </c>
      <c r="B11" s="3">
        <f>+'Cuadro 9'!$I$8*'Cuadro 1'!D19+'Cuadro 9'!$E$18*12</f>
        <v>7935615870.183332</v>
      </c>
      <c r="C11" s="3">
        <f>+'Cuadro 9'!$I$8+'Cuadro 9'!$E$18*12</f>
        <v>10147581438.18333</v>
      </c>
      <c r="D11" s="3">
        <f>+C11*B44+C11</f>
        <v>11365291210.76533</v>
      </c>
      <c r="E11" s="3">
        <f>+D11*B44+D11</f>
        <v>12729126156.057169</v>
      </c>
      <c r="F11" s="3">
        <f>+E11*B44+E11</f>
        <v>14256621294.784029</v>
      </c>
      <c r="G11" s="3">
        <f>+F11*B44+F11</f>
        <v>15967415850.158112</v>
      </c>
      <c r="H11" s="3">
        <f>+G11*B44+G11</f>
        <v>17883505752.177086</v>
      </c>
      <c r="I11" s="3">
        <f>+H11*B44+H11</f>
        <v>20029526442.438335</v>
      </c>
      <c r="J11" s="3">
        <f>+I$11*$B$44+I$11</f>
        <v>22433069615.530937</v>
      </c>
      <c r="K11" s="3">
        <f>+J$11*$B$44+J$11</f>
        <v>25125037969.39465</v>
      </c>
    </row>
    <row r="12" spans="1:10" ht="12.75">
      <c r="A12" s="28"/>
      <c r="J12"/>
    </row>
    <row r="13" spans="1:11" ht="12.75">
      <c r="A13" s="28" t="s">
        <v>80</v>
      </c>
      <c r="B13" s="3">
        <f>+B11</f>
        <v>7935615870.183332</v>
      </c>
      <c r="C13" s="3">
        <f aca="true" t="shared" si="0" ref="C13:J13">+C11</f>
        <v>10147581438.18333</v>
      </c>
      <c r="D13" s="3">
        <f t="shared" si="0"/>
        <v>11365291210.76533</v>
      </c>
      <c r="E13" s="3">
        <f t="shared" si="0"/>
        <v>12729126156.057169</v>
      </c>
      <c r="F13" s="3">
        <f t="shared" si="0"/>
        <v>14256621294.784029</v>
      </c>
      <c r="G13" s="3">
        <f t="shared" si="0"/>
        <v>15967415850.158112</v>
      </c>
      <c r="H13" s="3">
        <f t="shared" si="0"/>
        <v>17883505752.177086</v>
      </c>
      <c r="I13" s="3">
        <f t="shared" si="0"/>
        <v>20029526442.438335</v>
      </c>
      <c r="J13" s="3">
        <f t="shared" si="0"/>
        <v>22433069615.530937</v>
      </c>
      <c r="K13" s="3">
        <f>+K11</f>
        <v>25125037969.39465</v>
      </c>
    </row>
    <row r="14" spans="1:11" ht="12.75">
      <c r="A14" s="28"/>
      <c r="K14" s="9"/>
    </row>
    <row r="15" spans="1:11" ht="12.75">
      <c r="A15" s="28" t="s">
        <v>5</v>
      </c>
      <c r="B15" s="11">
        <f aca="true" t="shared" si="1" ref="B15:J15">B13/B9</f>
        <v>0.7537989083214438</v>
      </c>
      <c r="C15" s="11">
        <f t="shared" si="1"/>
        <v>0.6686597146231282</v>
      </c>
      <c r="D15" s="11">
        <f t="shared" si="1"/>
        <v>0.6746836760161293</v>
      </c>
      <c r="E15" s="11">
        <f t="shared" si="1"/>
        <v>0.68076190733159</v>
      </c>
      <c r="F15" s="11">
        <f t="shared" si="1"/>
        <v>0.6868948974877304</v>
      </c>
      <c r="G15" s="11">
        <f t="shared" si="1"/>
        <v>0.6930831398074396</v>
      </c>
      <c r="H15" s="11">
        <f t="shared" si="1"/>
        <v>0.6993271320579572</v>
      </c>
      <c r="I15" s="11">
        <f t="shared" si="1"/>
        <v>0.7056273764909117</v>
      </c>
      <c r="J15" s="11">
        <f t="shared" si="1"/>
        <v>0.7119843798827218</v>
      </c>
      <c r="K15" s="11">
        <f>K13/K9</f>
        <v>0.7183986535753589</v>
      </c>
    </row>
    <row r="16" spans="1:11" ht="12.75">
      <c r="A16" s="28"/>
      <c r="K16" s="9"/>
    </row>
    <row r="17" spans="1:11" ht="12.75">
      <c r="A17" s="28" t="s">
        <v>3</v>
      </c>
      <c r="B17" s="5">
        <f>B9-B13</f>
        <v>2591881294.616665</v>
      </c>
      <c r="C17" s="5">
        <f aca="true" t="shared" si="2" ref="C17:J17">C9-C13</f>
        <v>5028420968.216667</v>
      </c>
      <c r="D17" s="5">
        <f t="shared" si="2"/>
        <v>5480071460.338669</v>
      </c>
      <c r="E17" s="5">
        <f t="shared" si="2"/>
        <v>5969226408.868269</v>
      </c>
      <c r="F17" s="5">
        <f t="shared" si="2"/>
        <v>6498550052.283209</v>
      </c>
      <c r="G17" s="5">
        <f t="shared" si="2"/>
        <v>7070824345.086521</v>
      </c>
      <c r="H17" s="5">
        <f t="shared" si="2"/>
        <v>7688940864.5444565</v>
      </c>
      <c r="I17" s="5">
        <f t="shared" si="2"/>
        <v>8355889302.122578</v>
      </c>
      <c r="J17" s="5">
        <f t="shared" si="2"/>
        <v>9074741860.931675</v>
      </c>
      <c r="K17" s="5">
        <f>K9-K13</f>
        <v>9848632769.478848</v>
      </c>
    </row>
    <row r="18" spans="1:11" ht="12.75">
      <c r="A18" s="28"/>
      <c r="K18" s="9"/>
    </row>
    <row r="19" spans="1:11" ht="12.75">
      <c r="A19" s="28" t="s">
        <v>6</v>
      </c>
      <c r="B19" s="8">
        <f aca="true" t="shared" si="3" ref="B19:J19">B17/B9</f>
        <v>0.24620109167855622</v>
      </c>
      <c r="C19" s="8">
        <f t="shared" si="3"/>
        <v>0.3313402853768717</v>
      </c>
      <c r="D19" s="8">
        <f t="shared" si="3"/>
        <v>0.3253163239838706</v>
      </c>
      <c r="E19" s="8">
        <f t="shared" si="3"/>
        <v>0.31923809266841</v>
      </c>
      <c r="F19" s="8">
        <f t="shared" si="3"/>
        <v>0.31310510251226964</v>
      </c>
      <c r="G19" s="8">
        <f t="shared" si="3"/>
        <v>0.30691686019256037</v>
      </c>
      <c r="H19" s="8">
        <f t="shared" si="3"/>
        <v>0.30067286794204284</v>
      </c>
      <c r="I19" s="8">
        <f t="shared" si="3"/>
        <v>0.2943726235090883</v>
      </c>
      <c r="J19" s="8">
        <f t="shared" si="3"/>
        <v>0.2880156201172782</v>
      </c>
      <c r="K19" s="8">
        <f>K17/K9</f>
        <v>0.2816013464246411</v>
      </c>
    </row>
    <row r="20" spans="1:11" ht="12.75">
      <c r="A20" s="28"/>
      <c r="K20" s="9"/>
    </row>
    <row r="21" spans="1:11" ht="12.75">
      <c r="A21" s="28" t="s">
        <v>78</v>
      </c>
      <c r="B21" s="3">
        <f>+'Cuadro 4'!E11</f>
        <v>88576000</v>
      </c>
      <c r="C21" s="3">
        <f>+'Cuadro 4'!F11</f>
        <v>88576000</v>
      </c>
      <c r="D21" s="3">
        <f>+'Cuadro 4'!G11</f>
        <v>88576000</v>
      </c>
      <c r="E21" s="3">
        <f>+'Cuadro 4'!H11</f>
        <v>88576000</v>
      </c>
      <c r="F21" s="3">
        <f>+'Cuadro 4'!I11</f>
        <v>88576000</v>
      </c>
      <c r="G21" s="3">
        <f>+'Cuadro 4'!J11</f>
        <v>87376000</v>
      </c>
      <c r="H21" s="3">
        <f>+'Cuadro 4'!K11</f>
        <v>87376000</v>
      </c>
      <c r="I21" s="3">
        <f>+'Cuadro 4'!L11</f>
        <v>87376000</v>
      </c>
      <c r="J21" s="3">
        <f>+'Cuadro 4'!M11</f>
        <v>87376000</v>
      </c>
      <c r="K21" s="3">
        <f>+'Cuadro 4'!N11</f>
        <v>87376000</v>
      </c>
    </row>
    <row r="22" spans="1:11" ht="12.75">
      <c r="A22" s="2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5.5">
      <c r="A23" s="28" t="s">
        <v>262</v>
      </c>
      <c r="B23" s="3">
        <f>+'Cuadro 4'!D39+'Cuadro 4'!D49</f>
        <v>242609729.96343327</v>
      </c>
      <c r="C23" s="3">
        <f>+'Cuadro 4'!E39+'Cuadro 4'!E49</f>
        <v>242609729.96343327</v>
      </c>
      <c r="D23" s="3">
        <f>+'Cuadro 4'!F39+'Cuadro 4'!F49</f>
        <v>242609729.96343327</v>
      </c>
      <c r="E23" s="3">
        <f>+'Cuadro 4'!G39+'Cuadro 4'!G49</f>
        <v>242609729.96343327</v>
      </c>
      <c r="F23" s="3">
        <f>+'Cuadro 4'!H39+'Cuadro 4'!H49</f>
        <v>242609729.96343327</v>
      </c>
      <c r="G23" s="3">
        <f>+'Cuadro 4'!I39+'Cuadro 4'!I49</f>
        <v>63510109.09090909</v>
      </c>
      <c r="H23" s="3">
        <f>+'Cuadro 4'!J39+'Cuadro 4'!J49</f>
        <v>63510109.09090909</v>
      </c>
      <c r="I23" s="3">
        <f>+'Cuadro 4'!K39+'Cuadro 4'!K49</f>
        <v>63510109.09090909</v>
      </c>
      <c r="J23" s="3">
        <f>+'Cuadro 4'!L39+'Cuadro 4'!L49</f>
        <v>63510109.09090909</v>
      </c>
      <c r="K23" s="3">
        <f>+'Cuadro 4'!M39+'Cuadro 4'!M49</f>
        <v>63510109.09090909</v>
      </c>
    </row>
    <row r="24" spans="1:11" ht="12.75">
      <c r="A24" s="28"/>
      <c r="K24" s="9"/>
    </row>
    <row r="25" spans="1:11" ht="25.5">
      <c r="A25" s="28" t="s">
        <v>263</v>
      </c>
      <c r="B25" s="5">
        <f>+B17-B21-B23</f>
        <v>2260695564.6532316</v>
      </c>
      <c r="C25" s="5">
        <f aca="true" t="shared" si="4" ref="C25:K25">+C17-C21-C23</f>
        <v>4697235238.253234</v>
      </c>
      <c r="D25" s="5">
        <f t="shared" si="4"/>
        <v>5148885730.375236</v>
      </c>
      <c r="E25" s="5">
        <f t="shared" si="4"/>
        <v>5638040678.904836</v>
      </c>
      <c r="F25" s="5">
        <f t="shared" si="4"/>
        <v>6167364322.319776</v>
      </c>
      <c r="G25" s="5">
        <f t="shared" si="4"/>
        <v>6919938235.995612</v>
      </c>
      <c r="H25" s="5">
        <f t="shared" si="4"/>
        <v>7538054755.4535475</v>
      </c>
      <c r="I25" s="5">
        <f t="shared" si="4"/>
        <v>8205003193.031669</v>
      </c>
      <c r="J25" s="5">
        <f t="shared" si="4"/>
        <v>8923855751.840765</v>
      </c>
      <c r="K25" s="5">
        <f t="shared" si="4"/>
        <v>9697746660.387938</v>
      </c>
    </row>
    <row r="26" spans="1:10" ht="12.75">
      <c r="A26" s="28"/>
      <c r="J26"/>
    </row>
    <row r="27" spans="1:10" ht="12.75">
      <c r="A27" s="28" t="s">
        <v>7</v>
      </c>
      <c r="J27"/>
    </row>
    <row r="28" spans="1:10" ht="12.75">
      <c r="A28" s="28"/>
      <c r="J28"/>
    </row>
    <row r="29" spans="1:11" ht="12.75">
      <c r="A29" s="28" t="s">
        <v>8</v>
      </c>
      <c r="B29" s="3">
        <f>+B17*$B$45</f>
        <v>77756438.83849995</v>
      </c>
      <c r="C29" s="3">
        <f aca="true" t="shared" si="5" ref="C29:K29">+C17*$B$45</f>
        <v>150852629.0465</v>
      </c>
      <c r="D29" s="3">
        <f t="shared" si="5"/>
        <v>164402143.81016007</v>
      </c>
      <c r="E29" s="3">
        <f t="shared" si="5"/>
        <v>179076792.26604807</v>
      </c>
      <c r="F29" s="3">
        <f t="shared" si="5"/>
        <v>194956501.56849626</v>
      </c>
      <c r="G29" s="3">
        <f t="shared" si="5"/>
        <v>212124730.35259563</v>
      </c>
      <c r="H29" s="3">
        <f t="shared" si="5"/>
        <v>230668225.9363337</v>
      </c>
      <c r="I29" s="3">
        <f t="shared" si="5"/>
        <v>250676679.0636773</v>
      </c>
      <c r="J29" s="3">
        <f t="shared" si="5"/>
        <v>272242255.82795024</v>
      </c>
      <c r="K29" s="3">
        <f t="shared" si="5"/>
        <v>295458983.0843654</v>
      </c>
    </row>
    <row r="30" spans="1:11" ht="12.7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8" t="s">
        <v>9</v>
      </c>
      <c r="B31" s="3">
        <f>+'Cuadro 9'!D17*12</f>
        <v>347869152.36864007</v>
      </c>
      <c r="C31" s="1">
        <f>+B31*$B$46+B31</f>
        <v>389613450.65287685</v>
      </c>
      <c r="D31" s="1">
        <f aca="true" t="shared" si="6" ref="D31:K31">+C31*$B$46+C31</f>
        <v>436367064.7312221</v>
      </c>
      <c r="E31" s="1">
        <f t="shared" si="6"/>
        <v>488731112.4989687</v>
      </c>
      <c r="F31" s="1">
        <f t="shared" si="6"/>
        <v>547378845.998845</v>
      </c>
      <c r="G31" s="1">
        <f t="shared" si="6"/>
        <v>613064307.5187063</v>
      </c>
      <c r="H31" s="1">
        <f t="shared" si="6"/>
        <v>686632024.4209511</v>
      </c>
      <c r="I31" s="1">
        <f t="shared" si="6"/>
        <v>769027867.3514652</v>
      </c>
      <c r="J31" s="1">
        <f t="shared" si="6"/>
        <v>861311211.4336411</v>
      </c>
      <c r="K31" s="1">
        <f t="shared" si="6"/>
        <v>964668556.805678</v>
      </c>
    </row>
    <row r="32" spans="1:10" ht="12.75">
      <c r="A32" s="28"/>
      <c r="C32" s="128"/>
      <c r="J32"/>
    </row>
    <row r="33" spans="1:11" ht="12.75">
      <c r="A33" s="28" t="s">
        <v>1</v>
      </c>
      <c r="B33" s="13">
        <f aca="true" t="shared" si="7" ref="B33:J33">B35/B9</f>
        <v>0.04042989369118734</v>
      </c>
      <c r="C33" s="13">
        <f t="shared" si="7"/>
        <v>0.0356132046652452</v>
      </c>
      <c r="D33" s="13">
        <f t="shared" si="7"/>
        <v>0.03566377407664382</v>
      </c>
      <c r="E33" s="13">
        <f t="shared" si="7"/>
        <v>0.03571479906832529</v>
      </c>
      <c r="F33" s="13">
        <f t="shared" si="7"/>
        <v>0.0357662837446165</v>
      </c>
      <c r="G33" s="13">
        <f t="shared" si="7"/>
        <v>0.03581823224682026</v>
      </c>
      <c r="H33" s="13">
        <f t="shared" si="7"/>
        <v>0.03587064875354837</v>
      </c>
      <c r="I33" s="13">
        <f t="shared" si="7"/>
        <v>0.03592353748105781</v>
      </c>
      <c r="J33" s="13">
        <f t="shared" si="7"/>
        <v>0.03597690268358987</v>
      </c>
      <c r="K33" s="13">
        <f>K35/K9</f>
        <v>0.0360307486537123</v>
      </c>
    </row>
    <row r="34" spans="1:10" ht="12.75">
      <c r="A34" s="28"/>
      <c r="J34"/>
    </row>
    <row r="35" spans="1:11" ht="12.75">
      <c r="A35" s="28" t="s">
        <v>10</v>
      </c>
      <c r="B35" s="3">
        <f aca="true" t="shared" si="8" ref="B35:J35">SUM(B29+B31)</f>
        <v>425625591.20714</v>
      </c>
      <c r="C35" s="3">
        <f t="shared" si="8"/>
        <v>540466079.6993768</v>
      </c>
      <c r="D35" s="3">
        <f t="shared" si="8"/>
        <v>600769208.5413822</v>
      </c>
      <c r="E35" s="3">
        <f t="shared" si="8"/>
        <v>667807904.7650168</v>
      </c>
      <c r="F35" s="3">
        <f t="shared" si="8"/>
        <v>742335347.5673412</v>
      </c>
      <c r="G35" s="3">
        <f t="shared" si="8"/>
        <v>825189037.8713019</v>
      </c>
      <c r="H35" s="3">
        <f t="shared" si="8"/>
        <v>917300250.3572848</v>
      </c>
      <c r="I35" s="3">
        <f t="shared" si="8"/>
        <v>1019704546.4151425</v>
      </c>
      <c r="J35" s="3">
        <f t="shared" si="8"/>
        <v>1133553467.2615914</v>
      </c>
      <c r="K35" s="3">
        <f>SUM(K29+K31)</f>
        <v>1260127539.8900435</v>
      </c>
    </row>
    <row r="36" spans="1:10" ht="12.75">
      <c r="A36" s="28"/>
      <c r="J36"/>
    </row>
    <row r="37" spans="1:10" ht="12.75">
      <c r="A37" s="28"/>
      <c r="J37"/>
    </row>
    <row r="38" spans="1:11" s="10" customFormat="1" ht="12.75">
      <c r="A38" s="31" t="s">
        <v>11</v>
      </c>
      <c r="B38" s="133">
        <f>B25-B35</f>
        <v>1835069973.4460917</v>
      </c>
      <c r="C38" s="133">
        <f aca="true" t="shared" si="9" ref="C38:J38">C25-C35</f>
        <v>4156769158.553857</v>
      </c>
      <c r="D38" s="133">
        <f t="shared" si="9"/>
        <v>4548116521.833854</v>
      </c>
      <c r="E38" s="133">
        <f t="shared" si="9"/>
        <v>4970232774.139819</v>
      </c>
      <c r="F38" s="133">
        <f t="shared" si="9"/>
        <v>5425028974.752435</v>
      </c>
      <c r="G38" s="133">
        <f t="shared" si="9"/>
        <v>6094749198.1243105</v>
      </c>
      <c r="H38" s="133">
        <f t="shared" si="9"/>
        <v>6620754505.096263</v>
      </c>
      <c r="I38" s="133">
        <f t="shared" si="9"/>
        <v>7185298646.616526</v>
      </c>
      <c r="J38" s="133">
        <f t="shared" si="9"/>
        <v>7790302284.579174</v>
      </c>
      <c r="K38" s="133">
        <f>K25-K35</f>
        <v>8437619120.497894</v>
      </c>
    </row>
    <row r="39" spans="1:1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 customHeight="1">
      <c r="A40" s="31" t="s">
        <v>12</v>
      </c>
      <c r="B40" s="32">
        <f aca="true" t="shared" si="10" ref="B40:J40">B38/B9</f>
        <v>0.17431208431780704</v>
      </c>
      <c r="C40" s="32">
        <f t="shared" si="10"/>
        <v>0.2739040919498584</v>
      </c>
      <c r="D40" s="32">
        <f t="shared" si="10"/>
        <v>0.2699921996713997</v>
      </c>
      <c r="E40" s="32">
        <f t="shared" si="10"/>
        <v>0.2658112663606008</v>
      </c>
      <c r="F40" s="32">
        <f t="shared" si="10"/>
        <v>0.2613820374708208</v>
      </c>
      <c r="G40" s="32">
        <f t="shared" si="10"/>
        <v>0.26454925143902003</v>
      </c>
      <c r="H40" s="32">
        <f t="shared" si="10"/>
        <v>0.2589018799932512</v>
      </c>
      <c r="I40" s="32">
        <f t="shared" si="10"/>
        <v>0.2531334651314149</v>
      </c>
      <c r="J40" s="32">
        <f t="shared" si="10"/>
        <v>0.2472498697790797</v>
      </c>
      <c r="K40" s="32">
        <f>K38/K9</f>
        <v>0.24125632060461463</v>
      </c>
    </row>
    <row r="43" spans="1:3" ht="12.75">
      <c r="A43" s="129" t="s">
        <v>196</v>
      </c>
      <c r="B43" s="130"/>
      <c r="C43" s="130"/>
    </row>
    <row r="44" spans="1:3" ht="12.75">
      <c r="A44" s="130" t="s">
        <v>197</v>
      </c>
      <c r="B44" s="131">
        <v>0.12</v>
      </c>
      <c r="C44" s="130" t="s">
        <v>198</v>
      </c>
    </row>
    <row r="45" spans="1:3" ht="12.75">
      <c r="A45" s="130" t="s">
        <v>8</v>
      </c>
      <c r="B45" s="131">
        <v>0.03</v>
      </c>
      <c r="C45" s="130" t="s">
        <v>209</v>
      </c>
    </row>
    <row r="46" spans="1:9" ht="25.5">
      <c r="A46" s="132" t="s">
        <v>210</v>
      </c>
      <c r="B46" s="131">
        <v>0.12</v>
      </c>
      <c r="C46" s="130"/>
      <c r="G46" s="8"/>
      <c r="H46" s="8"/>
      <c r="I46" s="1"/>
    </row>
    <row r="47" spans="1:9" ht="12.75">
      <c r="A47" s="6"/>
      <c r="I47" s="1"/>
    </row>
    <row r="48" spans="1:9" ht="12.75">
      <c r="A48" s="7"/>
      <c r="I48" s="1"/>
    </row>
    <row r="49" spans="1:9" ht="12.75">
      <c r="A49" s="7"/>
      <c r="I49" s="1"/>
    </row>
    <row r="50" spans="1:9" ht="12.75">
      <c r="A50" s="7"/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</sheetData>
  <mergeCells count="1">
    <mergeCell ref="A3:J3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K40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B21" sqref="B21"/>
    </sheetView>
  </sheetViews>
  <sheetFormatPr defaultColWidth="11.421875" defaultRowHeight="12.75"/>
  <cols>
    <col min="1" max="1" width="38.28125" style="0" customWidth="1"/>
    <col min="2" max="2" width="22.421875" style="0" bestFit="1" customWidth="1"/>
    <col min="3" max="4" width="32.281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272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2:4" ht="12.75">
      <c r="B4" s="220" t="s">
        <v>205</v>
      </c>
      <c r="C4" s="220"/>
      <c r="D4" s="220"/>
    </row>
    <row r="5" ht="12.75">
      <c r="J5" s="2"/>
    </row>
    <row r="6" spans="1:11" s="12" customFormat="1" ht="12.75">
      <c r="A6" s="29"/>
      <c r="B6" s="30" t="s">
        <v>271</v>
      </c>
      <c r="C6" s="30" t="s">
        <v>270</v>
      </c>
      <c r="D6" s="30" t="s">
        <v>265</v>
      </c>
      <c r="E6" s="209"/>
      <c r="F6" s="209"/>
      <c r="G6" s="209"/>
      <c r="H6" s="209"/>
      <c r="I6" s="209"/>
      <c r="J6" s="209"/>
      <c r="K6" s="209"/>
    </row>
    <row r="7" spans="1:11" ht="12.75">
      <c r="A7" s="28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28"/>
      <c r="J8"/>
    </row>
    <row r="9" spans="1:11" ht="12.75">
      <c r="A9" s="28" t="s">
        <v>264</v>
      </c>
      <c r="B9" s="19">
        <f>+'Cuadro 9'!D19</f>
        <v>878208990.5519732</v>
      </c>
      <c r="C9" s="3"/>
      <c r="D9" s="3"/>
      <c r="E9" s="3"/>
      <c r="F9" s="3"/>
      <c r="G9" s="3"/>
      <c r="H9" s="3"/>
      <c r="I9" s="3"/>
      <c r="J9" s="3"/>
      <c r="K9" s="3"/>
    </row>
    <row r="10" spans="1:10" ht="12.75">
      <c r="A10" s="28"/>
      <c r="J10"/>
    </row>
    <row r="11" spans="1:11" ht="12.75">
      <c r="A11" s="28"/>
      <c r="B11" s="3"/>
      <c r="C11" s="19">
        <f>+'Cuadro 1'!$D$19*'Cuadro 9'!I5</f>
        <v>5139731519.999999</v>
      </c>
      <c r="D11" s="211">
        <f>+('Cuadro 10'!$B$9*'Cuadro 12'!B17-'Cuadro 12'!C11-'Cuadro 12'!$B$9*'Cuadro 12'!B17-'Cuadro 10'!$B$21*'Cuadro 12'!B17-'Cuadro 10'!$B$23*'Cuadro 12'!B17-'Cuadro 10'!$B$29*'Cuadro 12'!B17)/('Cuadro 10'!$B$9*'Cuadro 12'!B17)</f>
        <v>0.18027764583892414</v>
      </c>
      <c r="E11" s="210"/>
      <c r="F11" s="3"/>
      <c r="G11" s="3"/>
      <c r="H11" s="3"/>
      <c r="I11" s="3"/>
      <c r="J11" s="3"/>
      <c r="K11" s="3"/>
    </row>
    <row r="12" spans="1:11" ht="12.75">
      <c r="A12" s="28" t="s">
        <v>121</v>
      </c>
      <c r="C12" s="19">
        <f>+'Cuadro 1'!$D$19*'Cuadro 9'!I6</f>
        <v>1506016512</v>
      </c>
      <c r="D12" s="211">
        <f>+('Cuadro 10'!$B$9*'Cuadro 12'!B18-'Cuadro 12'!C12-'Cuadro 12'!$B$9*'Cuadro 12'!B18-'Cuadro 10'!$B$21*'Cuadro 12'!B18-'Cuadro 10'!$B$23*'Cuadro 12'!B18-'Cuadro 10'!$B$29*'Cuadro 12'!B18)/('Cuadro 10'!$B$9*'Cuadro 12'!B18)</f>
        <v>0.16245679468473956</v>
      </c>
      <c r="K12" s="9"/>
    </row>
    <row r="13" spans="1:11" ht="12.75">
      <c r="A13" s="28" t="s">
        <v>266</v>
      </c>
      <c r="C13" s="19">
        <f>+'Cuadro 1'!$D$19*'Cuadro 9'!I7</f>
        <v>759528000</v>
      </c>
      <c r="D13" s="211">
        <f>+('Cuadro 10'!$B$9*'Cuadro 12'!B19-'Cuadro 12'!C13-'Cuadro 12'!$B$9*'Cuadro 12'!B19-'Cuadro 10'!$B$21*'Cuadro 12'!B19-'Cuadro 10'!$B$23*'Cuadro 12'!B19-'Cuadro 10'!$B$29*'Cuadro 12'!B19)/('Cuadro 10'!$B$9*'Cuadro 12'!B19)</f>
        <v>0.15626373293612225</v>
      </c>
      <c r="E13" s="11"/>
      <c r="F13" s="11"/>
      <c r="G13" s="11"/>
      <c r="H13" s="11"/>
      <c r="I13" s="11"/>
      <c r="J13" s="11"/>
      <c r="K13" s="11"/>
    </row>
    <row r="14" spans="1:11" ht="12.75">
      <c r="A14" s="28" t="s">
        <v>267</v>
      </c>
      <c r="D14" s="19"/>
      <c r="K14" s="9"/>
    </row>
    <row r="15" spans="1:11" ht="12.75">
      <c r="A15" s="28"/>
      <c r="B15" s="5"/>
      <c r="C15" s="5"/>
      <c r="D15" s="19"/>
      <c r="E15" s="5"/>
      <c r="F15" s="5"/>
      <c r="G15" s="5"/>
      <c r="H15" s="5"/>
      <c r="I15" s="5"/>
      <c r="J15" s="5"/>
      <c r="K15" s="5"/>
    </row>
    <row r="16" spans="1:11" ht="12.75">
      <c r="A16" s="28" t="s">
        <v>268</v>
      </c>
      <c r="D16" s="19"/>
      <c r="K16" s="9"/>
    </row>
    <row r="17" spans="1:11" ht="12.75">
      <c r="A17" s="28" t="s">
        <v>121</v>
      </c>
      <c r="B17" s="11">
        <v>0.7</v>
      </c>
      <c r="C17" s="3"/>
      <c r="D17" s="19"/>
      <c r="E17" s="8"/>
      <c r="F17" s="8"/>
      <c r="G17" s="8"/>
      <c r="H17" s="8"/>
      <c r="I17" s="8"/>
      <c r="J17" s="8"/>
      <c r="K17" s="8"/>
    </row>
    <row r="18" spans="1:11" ht="12.75">
      <c r="A18" s="28" t="s">
        <v>266</v>
      </c>
      <c r="B18" s="11">
        <v>0.2</v>
      </c>
      <c r="K18" s="9"/>
    </row>
    <row r="19" spans="1:11" ht="12.75">
      <c r="A19" s="28" t="s">
        <v>267</v>
      </c>
      <c r="B19" s="11">
        <v>0.1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28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8" t="s">
        <v>269</v>
      </c>
      <c r="B21" s="212">
        <f>+B9/(D11*B17+D12*B18+D13*B19)</f>
        <v>5038141755.8567915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28"/>
      <c r="K22" s="9"/>
    </row>
    <row r="23" spans="1:11" ht="12.75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0" ht="12.75">
      <c r="A24" s="28"/>
      <c r="J24"/>
    </row>
    <row r="25" spans="1:10" ht="12.75">
      <c r="A25" s="28"/>
      <c r="J25"/>
    </row>
    <row r="26" spans="1:10" ht="12.75">
      <c r="A26" s="28"/>
      <c r="J26"/>
    </row>
    <row r="27" spans="1:11" ht="12.75">
      <c r="A27" s="2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</row>
    <row r="31" spans="1:9" ht="12.75">
      <c r="A31" s="6"/>
      <c r="I31" s="1"/>
    </row>
    <row r="32" spans="1:9" ht="12.75">
      <c r="A32" s="7"/>
      <c r="I32" s="1"/>
    </row>
    <row r="33" spans="1:9" ht="12.75">
      <c r="A33" s="7"/>
      <c r="I33" s="1"/>
    </row>
    <row r="34" spans="1:9" ht="12.75">
      <c r="A34" s="7"/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2">
    <mergeCell ref="A3:J3"/>
    <mergeCell ref="B4:D4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38"/>
  <sheetViews>
    <sheetView showGridLines="0" tabSelected="1" workbookViewId="0" topLeftCell="A1">
      <selection activeCell="B35" sqref="B35"/>
    </sheetView>
  </sheetViews>
  <sheetFormatPr defaultColWidth="11.421875" defaultRowHeight="12.75"/>
  <cols>
    <col min="1" max="1" width="21.7109375" style="0" customWidth="1"/>
    <col min="2" max="3" width="19.8515625" style="0" bestFit="1" customWidth="1"/>
    <col min="4" max="11" width="19.28125" style="0" bestFit="1" customWidth="1"/>
  </cols>
  <sheetData>
    <row r="3" spans="3:8" ht="12.75">
      <c r="C3" s="251" t="s">
        <v>274</v>
      </c>
      <c r="D3" s="251"/>
      <c r="E3" s="251"/>
      <c r="F3" s="251"/>
      <c r="G3" s="251"/>
      <c r="H3" s="251"/>
    </row>
    <row r="7" spans="2:3" ht="12.75">
      <c r="B7" s="214" t="s">
        <v>275</v>
      </c>
      <c r="C7" t="s">
        <v>279</v>
      </c>
    </row>
    <row r="9" ht="12.75">
      <c r="B9" t="s">
        <v>276</v>
      </c>
    </row>
    <row r="10" ht="12.75">
      <c r="B10" t="s">
        <v>277</v>
      </c>
    </row>
    <row r="11" ht="12.75">
      <c r="B11" t="s">
        <v>278</v>
      </c>
    </row>
    <row r="13" ht="12.75">
      <c r="B13" s="44" t="s">
        <v>293</v>
      </c>
    </row>
    <row r="15" spans="2:11" ht="12.75">
      <c r="B15" s="27" t="s">
        <v>280</v>
      </c>
      <c r="C15" s="27" t="s">
        <v>281</v>
      </c>
      <c r="D15" s="27" t="s">
        <v>282</v>
      </c>
      <c r="E15" s="27" t="s">
        <v>283</v>
      </c>
      <c r="F15" s="27" t="s">
        <v>284</v>
      </c>
      <c r="G15" s="27" t="s">
        <v>285</v>
      </c>
      <c r="H15" s="27" t="s">
        <v>286</v>
      </c>
      <c r="I15" s="27" t="s">
        <v>287</v>
      </c>
      <c r="J15" s="27" t="s">
        <v>288</v>
      </c>
      <c r="K15" s="27" t="s">
        <v>289</v>
      </c>
    </row>
    <row r="16" spans="1:11" ht="12.75">
      <c r="A16" s="217" t="s">
        <v>294</v>
      </c>
      <c r="B16" s="16">
        <f>+'Cuadro 10'!$B$9-'Cuadro 10'!$B$9*B22</f>
        <v>8421997731.839998</v>
      </c>
      <c r="C16" s="16">
        <f>+'Cuadro 10'!C9-'Cuadro 10'!C9*C22</f>
        <v>12140801925.119999</v>
      </c>
      <c r="D16" s="16">
        <f>+'Cuadro 10'!D9-'Cuadro 10'!D9*D22</f>
        <v>13476290136.883198</v>
      </c>
      <c r="E16" s="16">
        <f>+'Cuadro 10'!E9-'Cuadro 10'!E9*E22</f>
        <v>14958682051.94035</v>
      </c>
      <c r="F16" s="16">
        <f>+'Cuadro 10'!F9-'Cuadro 10'!F9*F22</f>
        <v>16604137077.65379</v>
      </c>
      <c r="G16" s="16">
        <f>+'Cuadro 10'!G9-'Cuadro 10'!G9*G22</f>
        <v>18430592156.195705</v>
      </c>
      <c r="H16" s="16">
        <f>+'Cuadro 10'!H9-'Cuadro 10'!H9*H22</f>
        <v>20457957293.377235</v>
      </c>
      <c r="I16" s="16">
        <f>+'Cuadro 10'!I9-'Cuadro 10'!I9*I22</f>
        <v>22708332595.64873</v>
      </c>
      <c r="J16" s="16">
        <f>+'Cuadro 10'!J9-'Cuadro 10'!J9*J22</f>
        <v>25206249181.17009</v>
      </c>
      <c r="K16" s="16">
        <f>+'Cuadro 10'!K9-'Cuadro 10'!K9*K22</f>
        <v>27978936591.098797</v>
      </c>
    </row>
    <row r="17" spans="1:11" ht="12.75">
      <c r="A17" s="217" t="s">
        <v>296</v>
      </c>
      <c r="B17" s="16">
        <f>+'Cuadro 10'!$B$13+'Cuadro 10'!$B$35</f>
        <v>8361241461.390472</v>
      </c>
      <c r="C17" s="16">
        <f>+'Cuadro 10'!C13+'Cuadro 10'!C35</f>
        <v>10688047517.882708</v>
      </c>
      <c r="D17" s="16">
        <f>+'Cuadro 10'!D13+'Cuadro 10'!D35</f>
        <v>11966060419.306711</v>
      </c>
      <c r="E17" s="16">
        <f>+'Cuadro 10'!E13+'Cuadro 10'!E35</f>
        <v>13396934060.822186</v>
      </c>
      <c r="F17" s="16">
        <f>+'Cuadro 10'!F13+'Cuadro 10'!F35</f>
        <v>14998956642.35137</v>
      </c>
      <c r="G17" s="16">
        <f>+'Cuadro 10'!G13+'Cuadro 10'!G35</f>
        <v>16792604888.029413</v>
      </c>
      <c r="H17" s="16">
        <f>+'Cuadro 10'!H13+'Cuadro 10'!H35</f>
        <v>18800806002.53437</v>
      </c>
      <c r="I17" s="16">
        <f>+'Cuadro 10'!I13+'Cuadro 10'!I35</f>
        <v>21049230988.853477</v>
      </c>
      <c r="J17" s="16">
        <f>+'Cuadro 10'!J13+'Cuadro 10'!J35</f>
        <v>23566623082.79253</v>
      </c>
      <c r="K17" s="16">
        <f>+'Cuadro 10'!K13+'Cuadro 10'!K35</f>
        <v>26385165509.284695</v>
      </c>
    </row>
    <row r="18" spans="1:11" ht="12.75">
      <c r="A18" s="217" t="s">
        <v>295</v>
      </c>
      <c r="B18" s="16">
        <f>+'Cuadro 10'!$B$21</f>
        <v>88576000</v>
      </c>
      <c r="C18" s="16">
        <f>+'Cuadro 10'!C21</f>
        <v>88576000</v>
      </c>
      <c r="D18" s="16">
        <f>+'Cuadro 10'!D21</f>
        <v>88576000</v>
      </c>
      <c r="E18" s="16">
        <f>+'Cuadro 10'!E21</f>
        <v>88576000</v>
      </c>
      <c r="F18" s="16">
        <f>+'Cuadro 10'!F21</f>
        <v>88576000</v>
      </c>
      <c r="G18" s="16">
        <f>+'Cuadro 10'!G21</f>
        <v>87376000</v>
      </c>
      <c r="H18" s="16">
        <f>+'Cuadro 10'!H21</f>
        <v>87376000</v>
      </c>
      <c r="I18" s="16">
        <f>+'Cuadro 10'!I21</f>
        <v>87376000</v>
      </c>
      <c r="J18" s="16">
        <f>+'Cuadro 10'!J21</f>
        <v>87376000</v>
      </c>
      <c r="K18" s="16">
        <f>+'Cuadro 10'!K21</f>
        <v>87376000</v>
      </c>
    </row>
    <row r="19" spans="1:11" ht="12.75">
      <c r="A19" s="217" t="s">
        <v>297</v>
      </c>
      <c r="B19" s="16">
        <f>+'Cuadro 10'!$B$23</f>
        <v>242609729.96343327</v>
      </c>
      <c r="C19" s="16">
        <f>+'Cuadro 10'!C23</f>
        <v>242609729.96343327</v>
      </c>
      <c r="D19" s="16">
        <f>+'Cuadro 10'!D23</f>
        <v>242609729.96343327</v>
      </c>
      <c r="E19" s="16">
        <f>+'Cuadro 10'!E23</f>
        <v>242609729.96343327</v>
      </c>
      <c r="F19" s="16">
        <f>+'Cuadro 10'!F23</f>
        <v>242609729.96343327</v>
      </c>
      <c r="G19" s="16">
        <f>+'Cuadro 10'!G23</f>
        <v>63510109.09090909</v>
      </c>
      <c r="H19" s="16">
        <f>+'Cuadro 10'!H23</f>
        <v>63510109.09090909</v>
      </c>
      <c r="I19" s="16">
        <f>+'Cuadro 10'!I23</f>
        <v>63510109.09090909</v>
      </c>
      <c r="J19" s="16">
        <f>+'Cuadro 10'!J23</f>
        <v>63510109.09090909</v>
      </c>
      <c r="K19" s="16">
        <f>+'Cuadro 10'!K23</f>
        <v>63510109.09090909</v>
      </c>
    </row>
    <row r="20" spans="1:11" ht="12.75">
      <c r="A20" s="217" t="s">
        <v>301</v>
      </c>
      <c r="B20" s="16">
        <f aca="true" t="shared" si="0" ref="B20:K20">+B16-B17-B18-B19</f>
        <v>-270429459.51390743</v>
      </c>
      <c r="C20" s="16">
        <f t="shared" si="0"/>
        <v>1121568677.273858</v>
      </c>
      <c r="D20" s="16">
        <f t="shared" si="0"/>
        <v>1179043987.6130533</v>
      </c>
      <c r="E20" s="16">
        <f t="shared" si="0"/>
        <v>1230562261.1547308</v>
      </c>
      <c r="F20" s="16">
        <f t="shared" si="0"/>
        <v>1273994705.3389864</v>
      </c>
      <c r="G20" s="16">
        <f t="shared" si="0"/>
        <v>1487101159.0753832</v>
      </c>
      <c r="H20" s="16">
        <f t="shared" si="0"/>
        <v>1506265181.751956</v>
      </c>
      <c r="I20" s="16">
        <f t="shared" si="0"/>
        <v>1508215497.7043447</v>
      </c>
      <c r="J20" s="16">
        <f t="shared" si="0"/>
        <v>1488739989.2866507</v>
      </c>
      <c r="K20" s="16">
        <f t="shared" si="0"/>
        <v>1442884972.7231932</v>
      </c>
    </row>
    <row r="21" spans="1:11" ht="12.75">
      <c r="A21" s="217" t="s">
        <v>290</v>
      </c>
      <c r="B21" s="213">
        <v>0.15</v>
      </c>
      <c r="C21" s="213">
        <v>0.15</v>
      </c>
      <c r="D21" s="213">
        <v>0.15</v>
      </c>
      <c r="E21" s="213">
        <v>0.15</v>
      </c>
      <c r="F21" s="213">
        <v>0.15</v>
      </c>
      <c r="G21" s="213">
        <v>0.15</v>
      </c>
      <c r="H21" s="213">
        <v>0.15</v>
      </c>
      <c r="I21" s="213">
        <v>0.15</v>
      </c>
      <c r="J21" s="213">
        <v>0.15</v>
      </c>
      <c r="K21" s="213">
        <v>0.15</v>
      </c>
    </row>
    <row r="22" spans="1:11" ht="12.75">
      <c r="A22" s="217" t="s">
        <v>298</v>
      </c>
      <c r="B22" s="213">
        <v>0.2</v>
      </c>
      <c r="C22" s="213">
        <v>0.2</v>
      </c>
      <c r="D22" s="213">
        <v>0.2</v>
      </c>
      <c r="E22" s="213">
        <v>0.2</v>
      </c>
      <c r="F22" s="213">
        <v>0.2</v>
      </c>
      <c r="G22" s="213">
        <v>0.2</v>
      </c>
      <c r="H22" s="213">
        <v>0.2</v>
      </c>
      <c r="I22" s="213">
        <v>0.2</v>
      </c>
      <c r="J22" s="213">
        <v>0.2</v>
      </c>
      <c r="K22" s="213">
        <v>0.2</v>
      </c>
    </row>
    <row r="23" spans="1:2" ht="12.75">
      <c r="A23" s="217" t="s">
        <v>291</v>
      </c>
      <c r="B23" s="216">
        <f>NPV(B21,-'Cuadro 5'!C17,B20:K20)</f>
        <v>3290334052.4535117</v>
      </c>
    </row>
    <row r="25" ht="12.75">
      <c r="B25" s="44" t="s">
        <v>299</v>
      </c>
    </row>
    <row r="27" spans="2:11" ht="12.75">
      <c r="B27" s="27" t="s">
        <v>280</v>
      </c>
      <c r="C27" s="27" t="s">
        <v>281</v>
      </c>
      <c r="D27" s="27" t="s">
        <v>282</v>
      </c>
      <c r="E27" s="27" t="s">
        <v>283</v>
      </c>
      <c r="F27" s="27" t="s">
        <v>284</v>
      </c>
      <c r="G27" s="27" t="s">
        <v>285</v>
      </c>
      <c r="H27" s="27" t="s">
        <v>286</v>
      </c>
      <c r="I27" s="27" t="s">
        <v>287</v>
      </c>
      <c r="J27" s="27" t="s">
        <v>288</v>
      </c>
      <c r="K27" s="27" t="s">
        <v>289</v>
      </c>
    </row>
    <row r="28" spans="1:11" ht="12.75">
      <c r="A28" s="217" t="s">
        <v>294</v>
      </c>
      <c r="B28" s="16">
        <f>+'Cuadro 10'!B9-'Cuadro 10'!B9*B34</f>
        <v>7895622873.599998</v>
      </c>
      <c r="C28" s="16">
        <f>+'Cuadro 10'!C9-'Cuadro 10'!C9*C34</f>
        <v>11382001804.8</v>
      </c>
      <c r="D28" s="16">
        <f>+'Cuadro 10'!D9-'Cuadro 10'!D9*D34</f>
        <v>12634022003.328</v>
      </c>
      <c r="E28" s="16">
        <f>+'Cuadro 10'!E9-'Cuadro 10'!E9*E34</f>
        <v>14023764423.694078</v>
      </c>
      <c r="F28" s="16">
        <f>+'Cuadro 10'!F9-'Cuadro 10'!F9*F34</f>
        <v>15566378510.300428</v>
      </c>
      <c r="G28" s="16">
        <f>+'Cuadro 10'!G9-'Cuadro 10'!G9*G34</f>
        <v>17278680146.433475</v>
      </c>
      <c r="H28" s="16">
        <f>+'Cuadro 10'!H9-'Cuadro 10'!H9*H34</f>
        <v>19179334962.541157</v>
      </c>
      <c r="I28" s="16">
        <f>+'Cuadro 10'!I9-'Cuadro 10'!I9*I34</f>
        <v>21289061808.420685</v>
      </c>
      <c r="J28" s="16">
        <f>+'Cuadro 10'!J9-'Cuadro 10'!J9*J34</f>
        <v>23630858607.34696</v>
      </c>
      <c r="K28" s="16">
        <f>+'Cuadro 10'!K9-'Cuadro 10'!K9*K34</f>
        <v>26230253054.15512</v>
      </c>
    </row>
    <row r="29" spans="1:11" ht="12.75">
      <c r="A29" s="217" t="s">
        <v>296</v>
      </c>
      <c r="B29" s="16">
        <f>+'Cuadro 10'!B13+'Cuadro 10'!B35</f>
        <v>8361241461.390472</v>
      </c>
      <c r="C29" s="16">
        <f>+'Cuadro 10'!C13+'Cuadro 10'!C35</f>
        <v>10688047517.882708</v>
      </c>
      <c r="D29" s="16">
        <f>+'Cuadro 10'!D13+'Cuadro 10'!D35</f>
        <v>11966060419.306711</v>
      </c>
      <c r="E29" s="16">
        <f>+'Cuadro 10'!E13+'Cuadro 10'!E35</f>
        <v>13396934060.822186</v>
      </c>
      <c r="F29" s="16">
        <f>+'Cuadro 10'!F13+'Cuadro 10'!F35</f>
        <v>14998956642.35137</v>
      </c>
      <c r="G29" s="16">
        <f>+'Cuadro 10'!G13+'Cuadro 10'!G35</f>
        <v>16792604888.029413</v>
      </c>
      <c r="H29" s="16">
        <f>+'Cuadro 10'!H13+'Cuadro 10'!H35</f>
        <v>18800806002.53437</v>
      </c>
      <c r="I29" s="16">
        <f>+'Cuadro 10'!I13+'Cuadro 10'!I35</f>
        <v>21049230988.853477</v>
      </c>
      <c r="J29" s="16">
        <f>+'Cuadro 10'!J13+'Cuadro 10'!J35</f>
        <v>23566623082.79253</v>
      </c>
      <c r="K29" s="16">
        <f>+'Cuadro 10'!K13+'Cuadro 10'!K35</f>
        <v>26385165509.284695</v>
      </c>
    </row>
    <row r="30" spans="1:11" ht="12.75">
      <c r="A30" s="217" t="s">
        <v>295</v>
      </c>
      <c r="B30" s="16">
        <f>+'Cuadro 10'!B21</f>
        <v>88576000</v>
      </c>
      <c r="C30" s="16">
        <f>+'Cuadro 10'!C21</f>
        <v>88576000</v>
      </c>
      <c r="D30" s="16">
        <f>+'Cuadro 10'!D21</f>
        <v>88576000</v>
      </c>
      <c r="E30" s="16">
        <f>+'Cuadro 10'!E21</f>
        <v>88576000</v>
      </c>
      <c r="F30" s="16">
        <f>+'Cuadro 10'!F21</f>
        <v>88576000</v>
      </c>
      <c r="G30" s="16">
        <f>+'Cuadro 10'!G21</f>
        <v>87376000</v>
      </c>
      <c r="H30" s="16">
        <f>+'Cuadro 10'!H21</f>
        <v>87376000</v>
      </c>
      <c r="I30" s="16">
        <f>+'Cuadro 10'!I21</f>
        <v>87376000</v>
      </c>
      <c r="J30" s="16">
        <f>+'Cuadro 10'!J21</f>
        <v>87376000</v>
      </c>
      <c r="K30" s="16">
        <f>+'Cuadro 10'!K21</f>
        <v>87376000</v>
      </c>
    </row>
    <row r="31" spans="1:11" ht="12.75">
      <c r="A31" s="217" t="s">
        <v>297</v>
      </c>
      <c r="B31" s="16">
        <f>+'Cuadro 10'!B23</f>
        <v>242609729.96343327</v>
      </c>
      <c r="C31" s="16">
        <f>+'Cuadro 10'!C23</f>
        <v>242609729.96343327</v>
      </c>
      <c r="D31" s="16">
        <f>+'Cuadro 10'!D23</f>
        <v>242609729.96343327</v>
      </c>
      <c r="E31" s="16">
        <f>+'Cuadro 10'!E23</f>
        <v>242609729.96343327</v>
      </c>
      <c r="F31" s="16">
        <f>+'Cuadro 10'!F23</f>
        <v>242609729.96343327</v>
      </c>
      <c r="G31" s="16">
        <f>+'Cuadro 10'!G23</f>
        <v>63510109.09090909</v>
      </c>
      <c r="H31" s="16">
        <f>+'Cuadro 10'!H23</f>
        <v>63510109.09090909</v>
      </c>
      <c r="I31" s="16">
        <f>+'Cuadro 10'!I23</f>
        <v>63510109.09090909</v>
      </c>
      <c r="J31" s="16">
        <f>+'Cuadro 10'!J23</f>
        <v>63510109.09090909</v>
      </c>
      <c r="K31" s="16">
        <f>+'Cuadro 10'!K23</f>
        <v>63510109.09090909</v>
      </c>
    </row>
    <row r="32" spans="1:11" ht="12.75">
      <c r="A32" s="217" t="s">
        <v>301</v>
      </c>
      <c r="B32" s="16">
        <f aca="true" t="shared" si="1" ref="B32:K32">+B28-B29-B30-B31</f>
        <v>-796804317.7539072</v>
      </c>
      <c r="C32" s="16">
        <f t="shared" si="1"/>
        <v>362768556.9538584</v>
      </c>
      <c r="D32" s="16">
        <f t="shared" si="1"/>
        <v>336775854.05785465</v>
      </c>
      <c r="E32" s="16">
        <f t="shared" si="1"/>
        <v>295644632.90845966</v>
      </c>
      <c r="F32" s="16">
        <f t="shared" si="1"/>
        <v>236236137.98562527</v>
      </c>
      <c r="G32" s="16">
        <f t="shared" si="1"/>
        <v>335189149.31315315</v>
      </c>
      <c r="H32" s="16">
        <f t="shared" si="1"/>
        <v>227642850.91587725</v>
      </c>
      <c r="I32" s="16">
        <f t="shared" si="1"/>
        <v>88944710.47629824</v>
      </c>
      <c r="J32" s="16">
        <f t="shared" si="1"/>
        <v>-86650584.536481</v>
      </c>
      <c r="K32" s="16">
        <f t="shared" si="1"/>
        <v>-305798564.22048295</v>
      </c>
    </row>
    <row r="33" spans="1:11" ht="12.75">
      <c r="A33" s="217" t="s">
        <v>290</v>
      </c>
      <c r="B33" s="213">
        <v>0.1</v>
      </c>
      <c r="C33" s="213">
        <v>0.1</v>
      </c>
      <c r="D33" s="213">
        <v>0.1</v>
      </c>
      <c r="E33" s="213">
        <v>0.1</v>
      </c>
      <c r="F33" s="213">
        <v>0.1</v>
      </c>
      <c r="G33" s="213">
        <v>0.1</v>
      </c>
      <c r="H33" s="213">
        <v>0.1</v>
      </c>
      <c r="I33" s="213">
        <v>0.1</v>
      </c>
      <c r="J33" s="213">
        <v>0.1</v>
      </c>
      <c r="K33" s="213">
        <v>0.1</v>
      </c>
    </row>
    <row r="34" spans="1:11" ht="12.75">
      <c r="A34" s="217" t="s">
        <v>298</v>
      </c>
      <c r="B34" s="213">
        <v>0.25</v>
      </c>
      <c r="C34" s="213">
        <v>0.25</v>
      </c>
      <c r="D34" s="213">
        <v>0.25</v>
      </c>
      <c r="E34" s="213">
        <v>0.25</v>
      </c>
      <c r="F34" s="213">
        <v>0.25</v>
      </c>
      <c r="G34" s="213">
        <v>0.25</v>
      </c>
      <c r="H34" s="213">
        <v>0.25</v>
      </c>
      <c r="I34" s="213">
        <v>0.25</v>
      </c>
      <c r="J34" s="213">
        <v>0.25</v>
      </c>
      <c r="K34" s="213">
        <v>0.25</v>
      </c>
    </row>
    <row r="35" spans="1:2" ht="12.75">
      <c r="A35" s="217" t="s">
        <v>291</v>
      </c>
      <c r="B35" s="216">
        <f>NPV(B33,-'Cuadro 5'!C17,B32:K32)</f>
        <v>-957603570.8612249</v>
      </c>
    </row>
    <row r="38" ht="12.75">
      <c r="C38" s="128"/>
    </row>
  </sheetData>
  <mergeCells count="1">
    <mergeCell ref="C3:H3"/>
  </mergeCells>
  <printOptions/>
  <pageMargins left="0.75" right="0.75" top="1" bottom="1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14"/>
  <sheetViews>
    <sheetView showGridLines="0" workbookViewId="0" topLeftCell="A1">
      <selection activeCell="A1" sqref="A1:A16384"/>
    </sheetView>
  </sheetViews>
  <sheetFormatPr defaultColWidth="11.421875" defaultRowHeight="12.75"/>
  <cols>
    <col min="1" max="1" width="18.28125" style="0" bestFit="1" customWidth="1"/>
    <col min="2" max="2" width="19.8515625" style="0" bestFit="1" customWidth="1"/>
    <col min="3" max="10" width="18.28125" style="0" bestFit="1" customWidth="1"/>
  </cols>
  <sheetData>
    <row r="3" spans="2:7" ht="12.75">
      <c r="B3" s="251" t="s">
        <v>292</v>
      </c>
      <c r="C3" s="251"/>
      <c r="D3" s="251"/>
      <c r="E3" s="251"/>
      <c r="F3" s="251"/>
      <c r="G3" s="251"/>
    </row>
    <row r="8" spans="1:5" ht="12.75">
      <c r="A8" t="s">
        <v>291</v>
      </c>
      <c r="B8" s="215">
        <f>'Cuadro 13'!B23</f>
        <v>3290334052.4535117</v>
      </c>
      <c r="C8" s="128">
        <f>+'Cuadro 13'!B21</f>
        <v>0.15</v>
      </c>
      <c r="D8" t="s">
        <v>300</v>
      </c>
      <c r="E8" s="128">
        <f>IRR('Cuadro 13'!B20:K20)</f>
        <v>4.1975441762547705</v>
      </c>
    </row>
    <row r="9" spans="1:5" ht="12.75">
      <c r="A9" t="s">
        <v>291</v>
      </c>
      <c r="B9" s="215">
        <f>+'Cuadro 13'!B35</f>
        <v>-957603570.8612249</v>
      </c>
      <c r="C9" s="128">
        <f>+'Cuadro 13'!B33</f>
        <v>0.1</v>
      </c>
      <c r="D9" t="s">
        <v>300</v>
      </c>
      <c r="E9" s="128">
        <f>IRR('Cuadro 13'!B32:K32)</f>
        <v>0.3075752676426659</v>
      </c>
    </row>
    <row r="10" ht="12.75">
      <c r="B10" s="128"/>
    </row>
    <row r="12" spans="2:7" ht="12.75">
      <c r="B12" s="251" t="s">
        <v>273</v>
      </c>
      <c r="C12" s="251"/>
      <c r="D12" s="251"/>
      <c r="E12" s="251"/>
      <c r="F12" s="251"/>
      <c r="G12" s="251"/>
    </row>
    <row r="14" ht="12.75">
      <c r="A14" t="s">
        <v>302</v>
      </c>
    </row>
  </sheetData>
  <mergeCells count="2">
    <mergeCell ref="B3:G3"/>
    <mergeCell ref="B12:G1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showGridLines="0" workbookViewId="0" topLeftCell="A1">
      <selection activeCell="D27" sqref="D27"/>
    </sheetView>
  </sheetViews>
  <sheetFormatPr defaultColWidth="11.421875" defaultRowHeight="12.75"/>
  <sheetData>
    <row r="2" ht="13.5" thickBot="1"/>
    <row r="3" spans="2:8" ht="12.75">
      <c r="B3" s="221" t="s">
        <v>137</v>
      </c>
      <c r="C3" s="222"/>
      <c r="D3" s="222"/>
      <c r="E3" s="222"/>
      <c r="F3" s="222"/>
      <c r="G3" s="222"/>
      <c r="H3" s="223"/>
    </row>
    <row r="4" spans="2:8" ht="13.5" thickBot="1">
      <c r="B4" s="224" t="s">
        <v>138</v>
      </c>
      <c r="C4" s="225"/>
      <c r="D4" s="225"/>
      <c r="E4" s="225"/>
      <c r="F4" s="225"/>
      <c r="G4" s="225"/>
      <c r="H4" s="225"/>
    </row>
    <row r="5" spans="2:8" ht="12.75">
      <c r="B5" s="55"/>
      <c r="C5" s="72"/>
      <c r="D5" s="72"/>
      <c r="E5" s="72"/>
      <c r="F5" s="72"/>
      <c r="G5" s="72"/>
      <c r="H5" s="73"/>
    </row>
    <row r="6" spans="2:8" ht="25.5">
      <c r="B6" s="74"/>
      <c r="C6" s="76" t="s">
        <v>139</v>
      </c>
      <c r="D6" s="76"/>
      <c r="E6" s="76" t="s">
        <v>140</v>
      </c>
      <c r="F6" s="76" t="s">
        <v>141</v>
      </c>
      <c r="G6" s="76"/>
      <c r="H6" s="77" t="s">
        <v>142</v>
      </c>
    </row>
    <row r="7" spans="2:8" ht="12.75">
      <c r="B7" s="74"/>
      <c r="C7" s="78"/>
      <c r="D7" s="78"/>
      <c r="E7" s="78"/>
      <c r="F7" s="78"/>
      <c r="G7" s="78"/>
      <c r="H7" s="79"/>
    </row>
    <row r="8" spans="2:8" ht="51.75" thickBot="1">
      <c r="B8" s="75" t="s">
        <v>144</v>
      </c>
      <c r="C8" s="80" t="s">
        <v>143</v>
      </c>
      <c r="D8" s="80"/>
      <c r="E8" s="80">
        <v>1200</v>
      </c>
      <c r="F8" s="80">
        <v>3500</v>
      </c>
      <c r="G8" s="80"/>
      <c r="H8" s="110">
        <f>F8*E8</f>
        <v>4200000</v>
      </c>
    </row>
  </sheetData>
  <mergeCells count="2">
    <mergeCell ref="B3:H3"/>
    <mergeCell ref="B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G11" sqref="G11"/>
    </sheetView>
  </sheetViews>
  <sheetFormatPr defaultColWidth="11.421875" defaultRowHeight="12.75"/>
  <cols>
    <col min="2" max="2" width="15.140625" style="0" bestFit="1" customWidth="1"/>
    <col min="3" max="3" width="13.57421875" style="0" customWidth="1"/>
    <col min="4" max="4" width="17.28125" style="0" bestFit="1" customWidth="1"/>
    <col min="5" max="5" width="20.8515625" style="0" bestFit="1" customWidth="1"/>
    <col min="6" max="6" width="17.57421875" style="0" customWidth="1"/>
  </cols>
  <sheetData>
    <row r="1" ht="13.5" thickBot="1"/>
    <row r="2" spans="2:5" ht="13.5" thickBot="1">
      <c r="B2" s="227" t="s">
        <v>150</v>
      </c>
      <c r="C2" s="228"/>
      <c r="D2" s="228"/>
      <c r="E2" s="229"/>
    </row>
    <row r="3" spans="2:5" ht="26.25" thickBot="1">
      <c r="B3" s="33" t="s">
        <v>52</v>
      </c>
      <c r="C3" s="34" t="s">
        <v>53</v>
      </c>
      <c r="D3" s="34" t="s">
        <v>54</v>
      </c>
      <c r="E3" s="34" t="s">
        <v>55</v>
      </c>
    </row>
    <row r="4" spans="2:5" ht="26.25" thickBot="1">
      <c r="B4" s="35" t="s">
        <v>56</v>
      </c>
      <c r="C4" s="36">
        <v>2</v>
      </c>
      <c r="D4" s="37">
        <v>50880000</v>
      </c>
      <c r="E4" s="37">
        <f>D4*C4</f>
        <v>101760000</v>
      </c>
    </row>
    <row r="5" spans="2:5" ht="26.25" thickBot="1">
      <c r="B5" s="38" t="s">
        <v>57</v>
      </c>
      <c r="C5" s="39">
        <v>1</v>
      </c>
      <c r="D5" s="40">
        <v>30000000</v>
      </c>
      <c r="E5" s="37">
        <f aca="true" t="shared" si="0" ref="E5:E22">D5*C5</f>
        <v>30000000</v>
      </c>
    </row>
    <row r="6" spans="2:5" ht="26.25" thickBot="1">
      <c r="B6" s="38" t="s">
        <v>58</v>
      </c>
      <c r="C6" s="39">
        <v>4</v>
      </c>
      <c r="D6" s="41">
        <v>10000000</v>
      </c>
      <c r="E6" s="37">
        <f t="shared" si="0"/>
        <v>40000000</v>
      </c>
    </row>
    <row r="7" spans="2:5" ht="26.25" thickBot="1">
      <c r="B7" s="38" t="s">
        <v>59</v>
      </c>
      <c r="C7" s="39">
        <v>1</v>
      </c>
      <c r="D7" s="40">
        <v>45000000</v>
      </c>
      <c r="E7" s="37">
        <f t="shared" si="0"/>
        <v>45000000</v>
      </c>
    </row>
    <row r="8" spans="2:5" ht="13.5" thickBot="1">
      <c r="B8" s="38" t="s">
        <v>60</v>
      </c>
      <c r="C8" s="39">
        <v>2</v>
      </c>
      <c r="D8" s="40">
        <v>10000000</v>
      </c>
      <c r="E8" s="37">
        <f t="shared" si="0"/>
        <v>20000000</v>
      </c>
    </row>
    <row r="9" spans="2:5" ht="39" thickBot="1">
      <c r="B9" s="38" t="s">
        <v>61</v>
      </c>
      <c r="C9" s="39">
        <v>1</v>
      </c>
      <c r="D9" s="40">
        <v>25000000</v>
      </c>
      <c r="E9" s="37">
        <f t="shared" si="0"/>
        <v>25000000</v>
      </c>
    </row>
    <row r="10" spans="2:5" ht="13.5" thickBot="1">
      <c r="B10" s="38" t="s">
        <v>62</v>
      </c>
      <c r="C10" s="39">
        <v>1</v>
      </c>
      <c r="D10" s="40">
        <v>12000000</v>
      </c>
      <c r="E10" s="37">
        <f t="shared" si="0"/>
        <v>12000000</v>
      </c>
    </row>
    <row r="11" spans="2:5" ht="26.25" thickBot="1">
      <c r="B11" s="38" t="s">
        <v>63</v>
      </c>
      <c r="C11" s="39">
        <v>2</v>
      </c>
      <c r="D11" s="40">
        <v>45000000</v>
      </c>
      <c r="E11" s="37">
        <f t="shared" si="0"/>
        <v>90000000</v>
      </c>
    </row>
    <row r="12" spans="2:5" ht="26.25" thickBot="1">
      <c r="B12" s="38" t="s">
        <v>64</v>
      </c>
      <c r="C12" s="39">
        <v>1</v>
      </c>
      <c r="D12" s="40">
        <v>50000000</v>
      </c>
      <c r="E12" s="37">
        <f t="shared" si="0"/>
        <v>50000000</v>
      </c>
    </row>
    <row r="13" spans="2:5" ht="26.25" thickBot="1">
      <c r="B13" s="38" t="s">
        <v>65</v>
      </c>
      <c r="C13" s="39">
        <v>1</v>
      </c>
      <c r="D13" s="40">
        <v>40000000</v>
      </c>
      <c r="E13" s="37">
        <f t="shared" si="0"/>
        <v>40000000</v>
      </c>
    </row>
    <row r="14" spans="2:5" ht="26.25" thickBot="1">
      <c r="B14" s="38" t="s">
        <v>66</v>
      </c>
      <c r="C14" s="39">
        <v>1</v>
      </c>
      <c r="D14" s="40">
        <v>50000000</v>
      </c>
      <c r="E14" s="37">
        <f t="shared" si="0"/>
        <v>50000000</v>
      </c>
    </row>
    <row r="15" spans="2:5" ht="13.5" thickBot="1">
      <c r="B15" s="38" t="s">
        <v>67</v>
      </c>
      <c r="C15" s="39">
        <v>1</v>
      </c>
      <c r="D15" s="40">
        <v>50000000</v>
      </c>
      <c r="E15" s="37">
        <f t="shared" si="0"/>
        <v>50000000</v>
      </c>
    </row>
    <row r="16" spans="2:5" ht="26.25" thickBot="1">
      <c r="B16" s="38" t="s">
        <v>68</v>
      </c>
      <c r="C16" s="39">
        <v>1</v>
      </c>
      <c r="D16" s="40">
        <v>35000000</v>
      </c>
      <c r="E16" s="37">
        <f t="shared" si="0"/>
        <v>35000000</v>
      </c>
    </row>
    <row r="17" spans="2:5" ht="26.25" thickBot="1">
      <c r="B17" s="38" t="s">
        <v>69</v>
      </c>
      <c r="C17" s="39">
        <v>2</v>
      </c>
      <c r="D17" s="40">
        <v>5000000</v>
      </c>
      <c r="E17" s="37">
        <f t="shared" si="0"/>
        <v>10000000</v>
      </c>
    </row>
    <row r="18" spans="2:5" ht="26.25" thickBot="1">
      <c r="B18" s="38" t="s">
        <v>70</v>
      </c>
      <c r="C18" s="39">
        <v>1</v>
      </c>
      <c r="D18" s="40">
        <v>59000000</v>
      </c>
      <c r="E18" s="37">
        <f t="shared" si="0"/>
        <v>59000000</v>
      </c>
    </row>
    <row r="19" spans="2:5" ht="13.5" thickBot="1">
      <c r="B19" s="38" t="s">
        <v>71</v>
      </c>
      <c r="C19" s="39">
        <v>2</v>
      </c>
      <c r="D19" s="40">
        <v>13000000</v>
      </c>
      <c r="E19" s="37">
        <f t="shared" si="0"/>
        <v>26000000</v>
      </c>
    </row>
    <row r="20" spans="2:5" ht="13.5" thickBot="1">
      <c r="B20" s="38" t="s">
        <v>72</v>
      </c>
      <c r="C20" s="39">
        <v>4</v>
      </c>
      <c r="D20" s="40">
        <v>10000000</v>
      </c>
      <c r="E20" s="37">
        <f t="shared" si="0"/>
        <v>40000000</v>
      </c>
    </row>
    <row r="21" spans="2:5" ht="13.5" thickBot="1">
      <c r="B21" s="38" t="s">
        <v>73</v>
      </c>
      <c r="C21" s="39">
        <v>1</v>
      </c>
      <c r="D21" s="40">
        <v>150000000</v>
      </c>
      <c r="E21" s="37">
        <f t="shared" si="0"/>
        <v>150000000</v>
      </c>
    </row>
    <row r="22" spans="2:5" ht="39" thickBot="1">
      <c r="B22" s="38" t="s">
        <v>159</v>
      </c>
      <c r="C22" s="39">
        <v>1</v>
      </c>
      <c r="D22" s="42">
        <v>6000000</v>
      </c>
      <c r="E22" s="37">
        <f t="shared" si="0"/>
        <v>6000000</v>
      </c>
    </row>
    <row r="23" spans="2:6" ht="12.75">
      <c r="B23" s="43"/>
      <c r="C23" s="43"/>
      <c r="D23" s="108" t="s">
        <v>23</v>
      </c>
      <c r="E23" s="109">
        <f>+SUM(E4:E22)</f>
        <v>879760000</v>
      </c>
      <c r="F23" s="19"/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workbookViewId="0" topLeftCell="A1">
      <selection activeCell="A19" sqref="A19"/>
    </sheetView>
  </sheetViews>
  <sheetFormatPr defaultColWidth="11.421875" defaultRowHeight="12.75"/>
  <cols>
    <col min="2" max="2" width="14.7109375" style="0" customWidth="1"/>
  </cols>
  <sheetData>
    <row r="1" ht="13.5" thickBot="1"/>
    <row r="2" spans="2:8" ht="12.75">
      <c r="B2" s="221" t="s">
        <v>145</v>
      </c>
      <c r="C2" s="222"/>
      <c r="D2" s="222"/>
      <c r="E2" s="222"/>
      <c r="F2" s="222"/>
      <c r="G2" s="222"/>
      <c r="H2" s="223"/>
    </row>
    <row r="3" spans="2:8" ht="13.5" thickBot="1">
      <c r="B3" s="224" t="s">
        <v>146</v>
      </c>
      <c r="C3" s="225"/>
      <c r="D3" s="225"/>
      <c r="E3" s="225"/>
      <c r="F3" s="225"/>
      <c r="G3" s="225"/>
      <c r="H3" s="225"/>
    </row>
    <row r="4" spans="2:8" ht="12.75">
      <c r="B4" s="55"/>
      <c r="C4" s="72"/>
      <c r="D4" s="72"/>
      <c r="E4" s="72"/>
      <c r="F4" s="72"/>
      <c r="G4" s="72"/>
      <c r="H4" s="73"/>
    </row>
    <row r="5" spans="2:8" ht="25.5">
      <c r="B5" s="74"/>
      <c r="C5" s="76" t="s">
        <v>139</v>
      </c>
      <c r="D5" s="76"/>
      <c r="E5" s="76" t="s">
        <v>140</v>
      </c>
      <c r="F5" s="76" t="s">
        <v>141</v>
      </c>
      <c r="G5" s="76"/>
      <c r="H5" s="77" t="s">
        <v>142</v>
      </c>
    </row>
    <row r="6" spans="2:8" ht="25.5">
      <c r="B6" s="81" t="s">
        <v>147</v>
      </c>
      <c r="C6" s="83"/>
      <c r="D6" s="83"/>
      <c r="E6" s="84">
        <v>1</v>
      </c>
      <c r="F6" s="85">
        <v>3000000</v>
      </c>
      <c r="G6" s="85"/>
      <c r="H6" s="86">
        <f>E6*F6</f>
        <v>3000000</v>
      </c>
    </row>
    <row r="7" spans="2:8" ht="25.5">
      <c r="B7" s="81" t="s">
        <v>148</v>
      </c>
      <c r="C7" s="83"/>
      <c r="D7" s="83"/>
      <c r="E7" s="87">
        <v>1</v>
      </c>
      <c r="F7" s="88">
        <v>6000000</v>
      </c>
      <c r="G7" s="88"/>
      <c r="H7" s="89">
        <f>F7*E7</f>
        <v>6000000</v>
      </c>
    </row>
    <row r="8" spans="2:8" ht="13.5" thickBot="1">
      <c r="B8" s="82" t="s">
        <v>149</v>
      </c>
      <c r="C8" s="90"/>
      <c r="D8" s="91"/>
      <c r="E8" s="106"/>
      <c r="F8" s="107"/>
      <c r="G8" s="107"/>
      <c r="H8" s="117">
        <f>SUM(H6:H7)</f>
        <v>9000000</v>
      </c>
    </row>
  </sheetData>
  <mergeCells count="2">
    <mergeCell ref="B2:H2"/>
    <mergeCell ref="B3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3.57421875" style="0" bestFit="1" customWidth="1"/>
    <col min="4" max="4" width="18.421875" style="0" bestFit="1" customWidth="1"/>
    <col min="5" max="5" width="17.57421875" style="0" customWidth="1"/>
  </cols>
  <sheetData>
    <row r="2" ht="13.5" thickBot="1"/>
    <row r="3" spans="1:5" ht="13.5" thickBot="1">
      <c r="A3" s="170"/>
      <c r="B3" s="230" t="s">
        <v>214</v>
      </c>
      <c r="C3" s="230"/>
      <c r="D3" s="230"/>
      <c r="E3" s="231"/>
    </row>
    <row r="4" spans="1:5" ht="12.75">
      <c r="A4" s="171"/>
      <c r="B4" s="146"/>
      <c r="C4" s="146"/>
      <c r="D4" s="146"/>
      <c r="E4" s="150"/>
    </row>
    <row r="5" spans="1:5" ht="12.75">
      <c r="A5" s="171"/>
      <c r="B5" s="146"/>
      <c r="C5" s="232" t="s">
        <v>215</v>
      </c>
      <c r="D5" s="232"/>
      <c r="E5" s="233"/>
    </row>
    <row r="6" spans="1:5" ht="12.75">
      <c r="A6" s="172"/>
      <c r="B6" s="151"/>
      <c r="C6" s="144" t="s">
        <v>216</v>
      </c>
      <c r="D6" s="23" t="s">
        <v>217</v>
      </c>
      <c r="E6" s="145" t="s">
        <v>218</v>
      </c>
    </row>
    <row r="7" spans="1:5" ht="12.75">
      <c r="A7" s="171"/>
      <c r="B7" s="146" t="s">
        <v>219</v>
      </c>
      <c r="C7" s="96"/>
      <c r="D7" s="164"/>
      <c r="E7" s="97"/>
    </row>
    <row r="8" spans="1:5" ht="12.75">
      <c r="A8" s="171"/>
      <c r="B8" s="147" t="s">
        <v>220</v>
      </c>
      <c r="C8" s="139"/>
      <c r="D8" s="166"/>
      <c r="E8" s="100"/>
    </row>
    <row r="9" spans="1:5" ht="12.75">
      <c r="A9" s="171"/>
      <c r="B9" s="147" t="s">
        <v>221</v>
      </c>
      <c r="C9" s="139">
        <f>'Cuadro 4'!C8</f>
        <v>6000000</v>
      </c>
      <c r="D9" s="176">
        <v>0</v>
      </c>
      <c r="E9" s="100">
        <f>+C9+D9</f>
        <v>6000000</v>
      </c>
    </row>
    <row r="10" spans="1:5" ht="12.75">
      <c r="A10" s="171"/>
      <c r="B10" s="148" t="s">
        <v>222</v>
      </c>
      <c r="C10" s="98">
        <v>250000000</v>
      </c>
      <c r="D10" s="177">
        <f>+'Cuadro 2B'!E23-C11</f>
        <v>623760000</v>
      </c>
      <c r="E10" s="100">
        <f>+C10+D10</f>
        <v>873760000</v>
      </c>
    </row>
    <row r="11" spans="1:5" ht="13.5" thickBot="1">
      <c r="A11" s="173" t="s">
        <v>226</v>
      </c>
      <c r="B11" s="146" t="s">
        <v>223</v>
      </c>
      <c r="C11" s="101">
        <f>SUM(C8:C10)</f>
        <v>256000000</v>
      </c>
      <c r="D11" s="178">
        <f>SUM(D8:D10)</f>
        <v>623760000</v>
      </c>
      <c r="E11" s="103">
        <f>+C11+D11</f>
        <v>879760000</v>
      </c>
    </row>
    <row r="12" spans="1:5" ht="14.25" thickBot="1" thickTop="1">
      <c r="A12" s="173" t="s">
        <v>227</v>
      </c>
      <c r="B12" s="146" t="s">
        <v>233</v>
      </c>
      <c r="C12" s="101"/>
      <c r="D12" s="179"/>
      <c r="E12" s="103"/>
    </row>
    <row r="13" spans="1:5" ht="14.25" thickBot="1" thickTop="1">
      <c r="A13" s="173" t="s">
        <v>228</v>
      </c>
      <c r="B13" s="146" t="s">
        <v>225</v>
      </c>
      <c r="C13" s="141">
        <f>C12+C11</f>
        <v>256000000</v>
      </c>
      <c r="D13" s="165">
        <f>D11</f>
        <v>623760000</v>
      </c>
      <c r="E13" s="142">
        <f>+C13+D13</f>
        <v>879760000</v>
      </c>
    </row>
    <row r="14" spans="1:5" ht="14.25" thickBot="1" thickTop="1">
      <c r="A14" s="173" t="s">
        <v>229</v>
      </c>
      <c r="B14" s="146" t="s">
        <v>231</v>
      </c>
      <c r="C14" s="141">
        <v>250000000</v>
      </c>
      <c r="D14" s="167">
        <f>+'Cuadro 9'!H8+'Cuadro 9'!C19+SUM('Cuadro 9'!H8+'Cuadro 9'!C19)*20%-C14</f>
        <v>799551878.8951972</v>
      </c>
      <c r="E14" s="158">
        <f>+C14+D14</f>
        <v>1049551878.8951972</v>
      </c>
    </row>
    <row r="15" spans="1:5" ht="14.25" thickBot="1" thickTop="1">
      <c r="A15" s="174" t="s">
        <v>230</v>
      </c>
      <c r="B15" s="149" t="s">
        <v>214</v>
      </c>
      <c r="C15" s="80"/>
      <c r="D15" s="175"/>
      <c r="E15" s="180">
        <f>+E13+E14</f>
        <v>1929311878.8951972</v>
      </c>
    </row>
    <row r="16" ht="12.75">
      <c r="E16" s="1"/>
    </row>
    <row r="17" spans="2:4" ht="12.75">
      <c r="B17" s="102"/>
      <c r="C17" s="136"/>
      <c r="D17" s="168"/>
    </row>
    <row r="19" spans="1:5" ht="12.75">
      <c r="A19" s="96"/>
      <c r="B19" s="234"/>
      <c r="C19" s="234"/>
      <c r="D19" s="234"/>
      <c r="E19" s="234"/>
    </row>
    <row r="20" spans="1:5" ht="12.75">
      <c r="A20" s="96"/>
      <c r="B20" s="102"/>
      <c r="C20" s="102"/>
      <c r="D20" s="102"/>
      <c r="E20" s="102"/>
    </row>
    <row r="21" spans="1:5" ht="12.75">
      <c r="A21" s="96"/>
      <c r="B21" s="102"/>
      <c r="C21" s="235"/>
      <c r="D21" s="235"/>
      <c r="E21" s="161"/>
    </row>
    <row r="22" spans="1:5" ht="12.75">
      <c r="A22" s="96"/>
      <c r="B22" s="137"/>
      <c r="C22" s="78"/>
      <c r="D22" s="78"/>
      <c r="E22" s="78"/>
    </row>
    <row r="23" spans="1:5" ht="12.75">
      <c r="A23" s="96"/>
      <c r="B23" s="102"/>
      <c r="C23" s="159"/>
      <c r="D23" s="159"/>
      <c r="E23" s="159"/>
    </row>
    <row r="24" spans="1:5" ht="12.75">
      <c r="A24" s="96"/>
      <c r="B24" s="138"/>
      <c r="C24" s="160"/>
      <c r="D24" s="160"/>
      <c r="E24" s="159"/>
    </row>
    <row r="25" spans="1:5" ht="12.75">
      <c r="A25" s="96"/>
      <c r="B25" s="138"/>
      <c r="C25" s="160"/>
      <c r="D25" s="160"/>
      <c r="E25" s="159"/>
    </row>
    <row r="26" spans="1:5" ht="12.75">
      <c r="A26" s="96"/>
      <c r="B26" s="140"/>
      <c r="C26" s="159"/>
      <c r="D26" s="159"/>
      <c r="E26" s="159"/>
    </row>
    <row r="27" spans="1:5" ht="12.75">
      <c r="A27" s="102"/>
      <c r="B27" s="102"/>
      <c r="C27" s="162"/>
      <c r="D27" s="162"/>
      <c r="E27" s="162"/>
    </row>
    <row r="28" spans="1:5" ht="12.75">
      <c r="A28" s="102"/>
      <c r="B28" s="102"/>
      <c r="C28" s="159"/>
      <c r="D28" s="159"/>
      <c r="E28" s="159"/>
    </row>
    <row r="29" spans="1:5" ht="12.75">
      <c r="A29" s="102"/>
      <c r="B29" s="138"/>
      <c r="C29" s="159"/>
      <c r="D29" s="159"/>
      <c r="E29" s="159"/>
    </row>
    <row r="30" spans="1:5" ht="12.75">
      <c r="A30" s="102"/>
      <c r="B30" s="102"/>
      <c r="C30" s="162"/>
      <c r="D30" s="162"/>
      <c r="E30" s="162"/>
    </row>
    <row r="31" spans="1:5" ht="12.75">
      <c r="A31" s="102"/>
      <c r="B31" s="102"/>
      <c r="C31" s="162"/>
      <c r="D31" s="162"/>
      <c r="E31" s="162"/>
    </row>
    <row r="32" spans="1:5" ht="12.75">
      <c r="A32" s="102"/>
      <c r="B32" s="102"/>
      <c r="C32" s="162"/>
      <c r="D32" s="162"/>
      <c r="E32" s="162"/>
    </row>
    <row r="33" spans="1:5" ht="12.75">
      <c r="A33" s="102"/>
      <c r="B33" s="102"/>
      <c r="C33" s="162"/>
      <c r="D33" s="162"/>
      <c r="E33" s="162"/>
    </row>
    <row r="34" spans="1:5" ht="12.75">
      <c r="A34" s="102"/>
      <c r="B34" s="102"/>
      <c r="C34" s="163"/>
      <c r="D34" s="163"/>
      <c r="E34" s="163"/>
    </row>
  </sheetData>
  <mergeCells count="4">
    <mergeCell ref="B3:E3"/>
    <mergeCell ref="C5:E5"/>
    <mergeCell ref="B19:E19"/>
    <mergeCell ref="C21:D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49"/>
  <sheetViews>
    <sheetView showGridLines="0" workbookViewId="0" topLeftCell="A1">
      <selection activeCell="C9" sqref="C9"/>
    </sheetView>
  </sheetViews>
  <sheetFormatPr defaultColWidth="11.421875" defaultRowHeight="12.75"/>
  <cols>
    <col min="2" max="2" width="20.8515625" style="0" customWidth="1"/>
    <col min="3" max="4" width="14.8515625" style="0" bestFit="1" customWidth="1"/>
    <col min="5" max="15" width="13.8515625" style="0" bestFit="1" customWidth="1"/>
    <col min="16" max="17" width="14.8515625" style="0" bestFit="1" customWidth="1"/>
  </cols>
  <sheetData>
    <row r="2" ht="13.5" thickBot="1"/>
    <row r="3" spans="2:14" ht="12.75">
      <c r="B3" s="221" t="s">
        <v>151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</row>
    <row r="4" spans="2:14" ht="13.5" thickBot="1">
      <c r="B4" s="224" t="s">
        <v>234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2:14" ht="12.75">
      <c r="B5" s="5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25.5">
      <c r="B6" s="92"/>
      <c r="C6" s="76" t="s">
        <v>152</v>
      </c>
      <c r="D6" s="76" t="s">
        <v>153</v>
      </c>
      <c r="E6" s="95" t="s">
        <v>154</v>
      </c>
      <c r="F6" s="95" t="s">
        <v>91</v>
      </c>
      <c r="G6" s="95" t="s">
        <v>92</v>
      </c>
      <c r="H6" s="95" t="s">
        <v>93</v>
      </c>
      <c r="I6" s="95" t="s">
        <v>155</v>
      </c>
      <c r="J6" s="61" t="s">
        <v>124</v>
      </c>
      <c r="K6" s="61" t="s">
        <v>125</v>
      </c>
      <c r="L6" s="61" t="s">
        <v>126</v>
      </c>
      <c r="M6" s="61" t="s">
        <v>127</v>
      </c>
      <c r="N6" s="118" t="s">
        <v>128</v>
      </c>
    </row>
    <row r="7" spans="2:14" ht="12.75">
      <c r="B7" s="74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2.75">
      <c r="B8" s="93" t="s">
        <v>158</v>
      </c>
      <c r="C8" s="98">
        <f>+'Cuadro 2B'!E22</f>
        <v>6000000</v>
      </c>
      <c r="D8" s="99">
        <v>5</v>
      </c>
      <c r="E8" s="98">
        <f>+$C$8/5</f>
        <v>1200000</v>
      </c>
      <c r="F8" s="98">
        <f>+$C$8/5</f>
        <v>1200000</v>
      </c>
      <c r="G8" s="98">
        <f>+$C$8/5</f>
        <v>1200000</v>
      </c>
      <c r="H8" s="98">
        <f>+$C$8/5</f>
        <v>1200000</v>
      </c>
      <c r="I8" s="98">
        <f>+$C$8/5</f>
        <v>1200000</v>
      </c>
      <c r="J8" s="98">
        <v>0</v>
      </c>
      <c r="K8" s="98">
        <f aca="true" t="shared" si="0" ref="K8:N9">J8</f>
        <v>0</v>
      </c>
      <c r="L8" s="98">
        <f t="shared" si="0"/>
        <v>0</v>
      </c>
      <c r="M8" s="98">
        <f t="shared" si="0"/>
        <v>0</v>
      </c>
      <c r="N8" s="100">
        <f t="shared" si="0"/>
        <v>0</v>
      </c>
    </row>
    <row r="9" spans="2:14" ht="12.75">
      <c r="B9" s="93" t="s">
        <v>213</v>
      </c>
      <c r="C9" s="98">
        <f>+'Cuadro 2B'!E23-'Cuadro 2B'!E22</f>
        <v>873760000</v>
      </c>
      <c r="D9" s="99">
        <v>10</v>
      </c>
      <c r="E9" s="98">
        <f>C9/D9</f>
        <v>87376000</v>
      </c>
      <c r="F9" s="98">
        <f>E9</f>
        <v>87376000</v>
      </c>
      <c r="G9" s="98">
        <f>F9</f>
        <v>87376000</v>
      </c>
      <c r="H9" s="98">
        <f>G9</f>
        <v>87376000</v>
      </c>
      <c r="I9" s="98">
        <f>H9</f>
        <v>87376000</v>
      </c>
      <c r="J9" s="98">
        <f>I9</f>
        <v>87376000</v>
      </c>
      <c r="K9" s="98">
        <f t="shared" si="0"/>
        <v>87376000</v>
      </c>
      <c r="L9" s="98">
        <f t="shared" si="0"/>
        <v>87376000</v>
      </c>
      <c r="M9" s="98">
        <f t="shared" si="0"/>
        <v>87376000</v>
      </c>
      <c r="N9" s="100">
        <f t="shared" si="0"/>
        <v>87376000</v>
      </c>
    </row>
    <row r="10" spans="2:14" ht="13.5" thickBot="1">
      <c r="B10" s="74" t="s">
        <v>157</v>
      </c>
      <c r="C10" s="101">
        <f>SUM(C8:C9)</f>
        <v>879760000</v>
      </c>
      <c r="D10" s="102"/>
      <c r="E10" s="101">
        <f aca="true" t="shared" si="1" ref="E10:N10">SUM(E8:E9)</f>
        <v>88576000</v>
      </c>
      <c r="F10" s="101">
        <f t="shared" si="1"/>
        <v>88576000</v>
      </c>
      <c r="G10" s="101">
        <f t="shared" si="1"/>
        <v>88576000</v>
      </c>
      <c r="H10" s="101">
        <f t="shared" si="1"/>
        <v>88576000</v>
      </c>
      <c r="I10" s="101">
        <f t="shared" si="1"/>
        <v>88576000</v>
      </c>
      <c r="J10" s="101">
        <f t="shared" si="1"/>
        <v>87376000</v>
      </c>
      <c r="K10" s="101">
        <f t="shared" si="1"/>
        <v>87376000</v>
      </c>
      <c r="L10" s="101">
        <f t="shared" si="1"/>
        <v>87376000</v>
      </c>
      <c r="M10" s="101">
        <f t="shared" si="1"/>
        <v>87376000</v>
      </c>
      <c r="N10" s="103">
        <f t="shared" si="1"/>
        <v>87376000</v>
      </c>
    </row>
    <row r="11" spans="2:14" ht="14.25" thickBot="1" thickTop="1">
      <c r="B11" s="94" t="s">
        <v>160</v>
      </c>
      <c r="C11" s="104">
        <f>+C10</f>
        <v>879760000</v>
      </c>
      <c r="D11" s="80"/>
      <c r="E11" s="104">
        <f>+E10</f>
        <v>88576000</v>
      </c>
      <c r="F11" s="104">
        <f aca="true" t="shared" si="2" ref="F11:M11">+F10</f>
        <v>88576000</v>
      </c>
      <c r="G11" s="104">
        <f t="shared" si="2"/>
        <v>88576000</v>
      </c>
      <c r="H11" s="104">
        <f t="shared" si="2"/>
        <v>88576000</v>
      </c>
      <c r="I11" s="104">
        <f t="shared" si="2"/>
        <v>88576000</v>
      </c>
      <c r="J11" s="104">
        <f t="shared" si="2"/>
        <v>87376000</v>
      </c>
      <c r="K11" s="104">
        <f t="shared" si="2"/>
        <v>87376000</v>
      </c>
      <c r="L11" s="104">
        <f t="shared" si="2"/>
        <v>87376000</v>
      </c>
      <c r="M11" s="104">
        <f t="shared" si="2"/>
        <v>87376000</v>
      </c>
      <c r="N11" s="105">
        <f>+N10</f>
        <v>87376000</v>
      </c>
    </row>
    <row r="14" spans="2:4" ht="12.75">
      <c r="B14" s="191" t="s">
        <v>106</v>
      </c>
      <c r="C14" s="192"/>
      <c r="D14" s="192"/>
    </row>
    <row r="15" spans="2:4" ht="25.5">
      <c r="B15" s="193" t="s">
        <v>235</v>
      </c>
      <c r="C15" s="192">
        <v>6</v>
      </c>
      <c r="D15" s="192" t="s">
        <v>237</v>
      </c>
    </row>
    <row r="16" spans="2:4" ht="25.5">
      <c r="B16" s="193" t="s">
        <v>236</v>
      </c>
      <c r="C16" s="192">
        <v>11</v>
      </c>
      <c r="D16" s="192" t="s">
        <v>237</v>
      </c>
    </row>
    <row r="17" spans="2:4" ht="12.75">
      <c r="B17" s="192" t="s">
        <v>238</v>
      </c>
      <c r="C17" s="194">
        <v>0.12</v>
      </c>
      <c r="D17" s="192" t="s">
        <v>239</v>
      </c>
    </row>
    <row r="18" spans="2:4" ht="12.75">
      <c r="B18" s="192"/>
      <c r="C18" s="192"/>
      <c r="D18" s="192"/>
    </row>
    <row r="19" ht="13.5" thickBot="1"/>
    <row r="20" spans="2:16" ht="13.5" thickBot="1">
      <c r="B20" s="221" t="s">
        <v>151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2:16" ht="12.75">
      <c r="B21" s="240" t="s">
        <v>256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2:16" ht="13.5" thickBot="1">
      <c r="B22" s="55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2:16" ht="12.75">
      <c r="B23" s="92"/>
      <c r="C23" s="76" t="s">
        <v>253</v>
      </c>
      <c r="D23" s="95" t="s">
        <v>241</v>
      </c>
      <c r="E23" s="95" t="s">
        <v>242</v>
      </c>
      <c r="F23" s="95" t="s">
        <v>243</v>
      </c>
      <c r="G23" s="95" t="s">
        <v>244</v>
      </c>
      <c r="H23" s="95" t="s">
        <v>245</v>
      </c>
      <c r="I23" s="95" t="s">
        <v>246</v>
      </c>
      <c r="J23" s="95" t="s">
        <v>247</v>
      </c>
      <c r="K23" s="95" t="s">
        <v>248</v>
      </c>
      <c r="L23" s="95" t="s">
        <v>249</v>
      </c>
      <c r="M23" s="95" t="s">
        <v>250</v>
      </c>
      <c r="N23" s="95" t="s">
        <v>251</v>
      </c>
      <c r="O23" s="95" t="s">
        <v>252</v>
      </c>
      <c r="P23" s="199" t="s">
        <v>257</v>
      </c>
    </row>
    <row r="24" spans="2:16" ht="12.75">
      <c r="B24" s="93" t="s">
        <v>240</v>
      </c>
      <c r="C24" s="196">
        <f>+'Cuadro 5'!C16</f>
        <v>799551878.8951972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00"/>
    </row>
    <row r="25" spans="2:16" ht="12.75">
      <c r="B25" s="93" t="s">
        <v>258</v>
      </c>
      <c r="D25" s="98">
        <f>+C24-D27</f>
        <v>786226014.2469438</v>
      </c>
      <c r="E25" s="98">
        <f>+D25-E27</f>
        <v>772900149.5986905</v>
      </c>
      <c r="F25" s="98">
        <f aca="true" t="shared" si="3" ref="F25:O25">+E25-F27</f>
        <v>759574284.9504372</v>
      </c>
      <c r="G25" s="98">
        <f t="shared" si="3"/>
        <v>746248420.3021839</v>
      </c>
      <c r="H25" s="98">
        <f t="shared" si="3"/>
        <v>732922555.6539305</v>
      </c>
      <c r="I25" s="98">
        <f t="shared" si="3"/>
        <v>719596691.0056772</v>
      </c>
      <c r="J25" s="98">
        <f t="shared" si="3"/>
        <v>706270826.3574239</v>
      </c>
      <c r="K25" s="98">
        <f t="shared" si="3"/>
        <v>692944961.7091706</v>
      </c>
      <c r="L25" s="98">
        <f t="shared" si="3"/>
        <v>679619097.0609173</v>
      </c>
      <c r="M25" s="98">
        <f t="shared" si="3"/>
        <v>666293232.4126639</v>
      </c>
      <c r="N25" s="98">
        <f t="shared" si="3"/>
        <v>652967367.7644106</v>
      </c>
      <c r="O25" s="98">
        <f t="shared" si="3"/>
        <v>639641503.1161573</v>
      </c>
      <c r="P25" s="202">
        <f>+O25</f>
        <v>639641503.1161573</v>
      </c>
    </row>
    <row r="26" spans="2:16" ht="12.75">
      <c r="B26" s="93" t="s">
        <v>254</v>
      </c>
      <c r="C26" s="157"/>
      <c r="D26" s="196">
        <f aca="true" t="shared" si="4" ref="D26:O26">+$C$24/(5*12)*$C$17</f>
        <v>1599103.7577903944</v>
      </c>
      <c r="E26" s="196">
        <f t="shared" si="4"/>
        <v>1599103.7577903944</v>
      </c>
      <c r="F26" s="196">
        <f t="shared" si="4"/>
        <v>1599103.7577903944</v>
      </c>
      <c r="G26" s="196">
        <f t="shared" si="4"/>
        <v>1599103.7577903944</v>
      </c>
      <c r="H26" s="196">
        <f t="shared" si="4"/>
        <v>1599103.7577903944</v>
      </c>
      <c r="I26" s="196">
        <f t="shared" si="4"/>
        <v>1599103.7577903944</v>
      </c>
      <c r="J26" s="196">
        <f t="shared" si="4"/>
        <v>1599103.7577903944</v>
      </c>
      <c r="K26" s="196">
        <f t="shared" si="4"/>
        <v>1599103.7577903944</v>
      </c>
      <c r="L26" s="196">
        <f t="shared" si="4"/>
        <v>1599103.7577903944</v>
      </c>
      <c r="M26" s="196">
        <f t="shared" si="4"/>
        <v>1599103.7577903944</v>
      </c>
      <c r="N26" s="196">
        <f t="shared" si="4"/>
        <v>1599103.7577903944</v>
      </c>
      <c r="O26" s="196">
        <f t="shared" si="4"/>
        <v>1599103.7577903944</v>
      </c>
      <c r="P26" s="203">
        <f>+SUM(D26:O26)</f>
        <v>19189245.093484733</v>
      </c>
    </row>
    <row r="27" spans="2:16" ht="12.75">
      <c r="B27" s="93" t="s">
        <v>255</v>
      </c>
      <c r="C27" s="157"/>
      <c r="D27" s="196">
        <f aca="true" t="shared" si="5" ref="D27:O27">+$C$24/(5*12)</f>
        <v>13325864.648253286</v>
      </c>
      <c r="E27" s="196">
        <f t="shared" si="5"/>
        <v>13325864.648253286</v>
      </c>
      <c r="F27" s="196">
        <f t="shared" si="5"/>
        <v>13325864.648253286</v>
      </c>
      <c r="G27" s="196">
        <f t="shared" si="5"/>
        <v>13325864.648253286</v>
      </c>
      <c r="H27" s="196">
        <f t="shared" si="5"/>
        <v>13325864.648253286</v>
      </c>
      <c r="I27" s="196">
        <f t="shared" si="5"/>
        <v>13325864.648253286</v>
      </c>
      <c r="J27" s="196">
        <f t="shared" si="5"/>
        <v>13325864.648253286</v>
      </c>
      <c r="K27" s="196">
        <f t="shared" si="5"/>
        <v>13325864.648253286</v>
      </c>
      <c r="L27" s="196">
        <f t="shared" si="5"/>
        <v>13325864.648253286</v>
      </c>
      <c r="M27" s="196">
        <f t="shared" si="5"/>
        <v>13325864.648253286</v>
      </c>
      <c r="N27" s="196">
        <f t="shared" si="5"/>
        <v>13325864.648253286</v>
      </c>
      <c r="O27" s="196">
        <f t="shared" si="5"/>
        <v>13325864.648253286</v>
      </c>
      <c r="P27" s="203">
        <f>+SUM(D27:O27)</f>
        <v>159910375.77903947</v>
      </c>
    </row>
    <row r="28" spans="2:16" ht="26.25" thickBot="1">
      <c r="B28" s="74" t="s">
        <v>259</v>
      </c>
      <c r="C28" s="197"/>
      <c r="D28" s="198">
        <f>+D26+D27</f>
        <v>14924968.40604368</v>
      </c>
      <c r="E28" s="198">
        <f aca="true" t="shared" si="6" ref="E28:O28">+E26+E27</f>
        <v>14924968.40604368</v>
      </c>
      <c r="F28" s="198">
        <f t="shared" si="6"/>
        <v>14924968.40604368</v>
      </c>
      <c r="G28" s="198">
        <f t="shared" si="6"/>
        <v>14924968.40604368</v>
      </c>
      <c r="H28" s="198">
        <f t="shared" si="6"/>
        <v>14924968.40604368</v>
      </c>
      <c r="I28" s="198">
        <f t="shared" si="6"/>
        <v>14924968.40604368</v>
      </c>
      <c r="J28" s="198">
        <f t="shared" si="6"/>
        <v>14924968.40604368</v>
      </c>
      <c r="K28" s="198">
        <f t="shared" si="6"/>
        <v>14924968.40604368</v>
      </c>
      <c r="L28" s="198">
        <f t="shared" si="6"/>
        <v>14924968.40604368</v>
      </c>
      <c r="M28" s="198">
        <f t="shared" si="6"/>
        <v>14924968.40604368</v>
      </c>
      <c r="N28" s="198">
        <f t="shared" si="6"/>
        <v>14924968.40604368</v>
      </c>
      <c r="O28" s="198">
        <f t="shared" si="6"/>
        <v>14924968.40604368</v>
      </c>
      <c r="P28" s="203">
        <f>+SUM(D28:O28)</f>
        <v>179099620.87252417</v>
      </c>
    </row>
    <row r="29" spans="2:16" ht="14.25" thickBot="1" thickTop="1">
      <c r="B29" s="94"/>
      <c r="C29" s="80"/>
      <c r="D29" s="80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201"/>
    </row>
    <row r="30" ht="13.5" thickBot="1"/>
    <row r="31" spans="2:8" ht="12.75">
      <c r="B31" s="221" t="s">
        <v>151</v>
      </c>
      <c r="C31" s="222"/>
      <c r="D31" s="222"/>
      <c r="E31" s="222"/>
      <c r="F31" s="222"/>
      <c r="G31" s="222"/>
      <c r="H31" s="223"/>
    </row>
    <row r="32" spans="2:8" ht="13.5" thickBot="1">
      <c r="B32" s="224" t="s">
        <v>256</v>
      </c>
      <c r="C32" s="225"/>
      <c r="D32" s="225"/>
      <c r="E32" s="225"/>
      <c r="F32" s="225"/>
      <c r="G32" s="225"/>
      <c r="H32" s="226"/>
    </row>
    <row r="33" spans="2:8" ht="12.75">
      <c r="B33" s="55"/>
      <c r="C33" s="72"/>
      <c r="D33" s="72"/>
      <c r="E33" s="72"/>
      <c r="F33" s="72"/>
      <c r="G33" s="72"/>
      <c r="H33" s="73"/>
    </row>
    <row r="34" spans="2:8" ht="12.75">
      <c r="B34" s="92"/>
      <c r="C34" s="76" t="s">
        <v>253</v>
      </c>
      <c r="D34" s="95" t="s">
        <v>90</v>
      </c>
      <c r="E34" s="95" t="s">
        <v>91</v>
      </c>
      <c r="F34" s="95" t="s">
        <v>92</v>
      </c>
      <c r="G34" s="95" t="s">
        <v>93</v>
      </c>
      <c r="H34" s="195" t="s">
        <v>155</v>
      </c>
    </row>
    <row r="35" spans="2:8" ht="12.75">
      <c r="B35" s="93" t="s">
        <v>240</v>
      </c>
      <c r="C35" s="204">
        <f>+C24</f>
        <v>799551878.8951972</v>
      </c>
      <c r="D35" s="96"/>
      <c r="E35" s="96"/>
      <c r="F35" s="96"/>
      <c r="G35" s="96"/>
      <c r="H35" s="97"/>
    </row>
    <row r="36" spans="2:8" ht="12.75">
      <c r="B36" s="93" t="s">
        <v>258</v>
      </c>
      <c r="C36" s="98"/>
      <c r="D36" s="98">
        <f>+C35-(C35/5)</f>
        <v>639641503.1161578</v>
      </c>
      <c r="E36" s="98">
        <f>+D36-($C$35/5)</f>
        <v>479731127.3371183</v>
      </c>
      <c r="F36" s="98">
        <f>+E36-($C$35/5)</f>
        <v>319820751.5580789</v>
      </c>
      <c r="G36" s="98">
        <f>+F36-($C$35/5)</f>
        <v>159910375.77903944</v>
      </c>
      <c r="H36" s="100">
        <f>+G36-($C$35/5)</f>
        <v>0</v>
      </c>
    </row>
    <row r="37" spans="2:8" ht="12.75">
      <c r="B37" s="93" t="s">
        <v>254</v>
      </c>
      <c r="C37" s="99"/>
      <c r="D37" s="98">
        <f>+$C$35*$C$17/5</f>
        <v>19189245.09348473</v>
      </c>
      <c r="E37" s="98">
        <f>D37</f>
        <v>19189245.09348473</v>
      </c>
      <c r="F37" s="98">
        <f>E37</f>
        <v>19189245.09348473</v>
      </c>
      <c r="G37" s="98">
        <f>F37</f>
        <v>19189245.09348473</v>
      </c>
      <c r="H37" s="100">
        <f>G37</f>
        <v>19189245.09348473</v>
      </c>
    </row>
    <row r="38" spans="2:8" ht="13.5" thickBot="1">
      <c r="B38" s="74" t="s">
        <v>255</v>
      </c>
      <c r="C38" s="102"/>
      <c r="D38" s="101">
        <f>+$C$35/5</f>
        <v>159910375.77903944</v>
      </c>
      <c r="E38" s="101">
        <f>+$C$35/5</f>
        <v>159910375.77903944</v>
      </c>
      <c r="F38" s="101">
        <f>+$C$35/5</f>
        <v>159910375.77903944</v>
      </c>
      <c r="G38" s="101">
        <f>+$C$35/5</f>
        <v>159910375.77903944</v>
      </c>
      <c r="H38" s="103">
        <f>+$C$35/5</f>
        <v>159910375.77903944</v>
      </c>
    </row>
    <row r="39" spans="2:8" ht="27" thickBot="1" thickTop="1">
      <c r="B39" s="94" t="s">
        <v>259</v>
      </c>
      <c r="C39" s="80"/>
      <c r="D39" s="104">
        <f>+D38+D37</f>
        <v>179099620.87252417</v>
      </c>
      <c r="E39" s="104">
        <f>+E38+E37</f>
        <v>179099620.87252417</v>
      </c>
      <c r="F39" s="104">
        <f>+F38+F37</f>
        <v>179099620.87252417</v>
      </c>
      <c r="G39" s="104">
        <f>+G38+G37</f>
        <v>179099620.87252417</v>
      </c>
      <c r="H39" s="105">
        <f>+H38+H37</f>
        <v>179099620.87252417</v>
      </c>
    </row>
    <row r="41" ht="13.5" thickBot="1"/>
    <row r="42" spans="2:13" ht="12.75">
      <c r="B42" s="23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9"/>
    </row>
    <row r="43" spans="2:13" ht="12.75">
      <c r="B43" s="236" t="s">
        <v>260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</row>
    <row r="44" spans="2:13" ht="12.75">
      <c r="B44" s="92"/>
      <c r="C44" s="76" t="s">
        <v>253</v>
      </c>
      <c r="D44" s="95" t="s">
        <v>205</v>
      </c>
      <c r="E44" s="95" t="s">
        <v>206</v>
      </c>
      <c r="F44" s="95" t="s">
        <v>199</v>
      </c>
      <c r="G44" s="95" t="s">
        <v>200</v>
      </c>
      <c r="H44" s="95" t="s">
        <v>201</v>
      </c>
      <c r="I44" s="95" t="s">
        <v>202</v>
      </c>
      <c r="J44" s="95" t="s">
        <v>203</v>
      </c>
      <c r="K44" s="95" t="s">
        <v>204</v>
      </c>
      <c r="L44" s="95" t="s">
        <v>207</v>
      </c>
      <c r="M44" s="195" t="s">
        <v>208</v>
      </c>
    </row>
    <row r="45" spans="2:13" ht="12.75">
      <c r="B45" s="93" t="s">
        <v>261</v>
      </c>
      <c r="C45" s="196">
        <f>+'Cuadro 3'!D13</f>
        <v>623760000</v>
      </c>
      <c r="D45" s="96"/>
      <c r="E45" s="96"/>
      <c r="F45" s="96"/>
      <c r="G45" s="96"/>
      <c r="H45" s="96"/>
      <c r="I45" s="96"/>
      <c r="J45" s="96"/>
      <c r="K45" s="96"/>
      <c r="L45" s="96"/>
      <c r="M45" s="97"/>
    </row>
    <row r="46" spans="2:13" ht="12.75">
      <c r="B46" s="93" t="s">
        <v>258</v>
      </c>
      <c r="C46" s="157"/>
      <c r="D46" s="98">
        <f>+C45-C45/10</f>
        <v>561384000</v>
      </c>
      <c r="E46" s="98">
        <f>+D46-$D$48</f>
        <v>504678545.45454544</v>
      </c>
      <c r="F46" s="98">
        <f aca="true" t="shared" si="7" ref="F46:M46">+E46-$D$48</f>
        <v>447973090.9090909</v>
      </c>
      <c r="G46" s="98">
        <f t="shared" si="7"/>
        <v>391267636.3636363</v>
      </c>
      <c r="H46" s="98">
        <f t="shared" si="7"/>
        <v>334562181.81818175</v>
      </c>
      <c r="I46" s="98">
        <f t="shared" si="7"/>
        <v>277856727.2727272</v>
      </c>
      <c r="J46" s="98">
        <f t="shared" si="7"/>
        <v>221151272.72727263</v>
      </c>
      <c r="K46" s="98">
        <f t="shared" si="7"/>
        <v>164445818.18181807</v>
      </c>
      <c r="L46" s="98">
        <f t="shared" si="7"/>
        <v>107740363.63636352</v>
      </c>
      <c r="M46" s="100">
        <f t="shared" si="7"/>
        <v>51034909.090908974</v>
      </c>
    </row>
    <row r="47" spans="2:13" ht="12.75">
      <c r="B47" s="93" t="s">
        <v>254</v>
      </c>
      <c r="C47" s="157"/>
      <c r="D47" s="196">
        <f>+$C$45*$C$17/$C$16</f>
        <v>6804654.545454546</v>
      </c>
      <c r="E47" s="196">
        <f aca="true" t="shared" si="8" ref="E47:M47">+$C$45*$C$17/$C$16</f>
        <v>6804654.545454546</v>
      </c>
      <c r="F47" s="196">
        <f t="shared" si="8"/>
        <v>6804654.545454546</v>
      </c>
      <c r="G47" s="196">
        <f t="shared" si="8"/>
        <v>6804654.545454546</v>
      </c>
      <c r="H47" s="196">
        <f t="shared" si="8"/>
        <v>6804654.545454546</v>
      </c>
      <c r="I47" s="196">
        <f t="shared" si="8"/>
        <v>6804654.545454546</v>
      </c>
      <c r="J47" s="196">
        <f t="shared" si="8"/>
        <v>6804654.545454546</v>
      </c>
      <c r="K47" s="196">
        <f t="shared" si="8"/>
        <v>6804654.545454546</v>
      </c>
      <c r="L47" s="196">
        <f t="shared" si="8"/>
        <v>6804654.545454546</v>
      </c>
      <c r="M47" s="205">
        <f t="shared" si="8"/>
        <v>6804654.545454546</v>
      </c>
    </row>
    <row r="48" spans="2:13" ht="12.75">
      <c r="B48" s="74" t="s">
        <v>255</v>
      </c>
      <c r="C48" s="157"/>
      <c r="D48" s="196">
        <f>+$C$45/$C$16</f>
        <v>56705454.54545455</v>
      </c>
      <c r="E48" s="196">
        <f aca="true" t="shared" si="9" ref="E48:M48">+$C$45/$C$16</f>
        <v>56705454.54545455</v>
      </c>
      <c r="F48" s="196">
        <f t="shared" si="9"/>
        <v>56705454.54545455</v>
      </c>
      <c r="G48" s="196">
        <f t="shared" si="9"/>
        <v>56705454.54545455</v>
      </c>
      <c r="H48" s="196">
        <f t="shared" si="9"/>
        <v>56705454.54545455</v>
      </c>
      <c r="I48" s="196">
        <f t="shared" si="9"/>
        <v>56705454.54545455</v>
      </c>
      <c r="J48" s="196">
        <f t="shared" si="9"/>
        <v>56705454.54545455</v>
      </c>
      <c r="K48" s="196">
        <f t="shared" si="9"/>
        <v>56705454.54545455</v>
      </c>
      <c r="L48" s="196">
        <f t="shared" si="9"/>
        <v>56705454.54545455</v>
      </c>
      <c r="M48" s="205">
        <f t="shared" si="9"/>
        <v>56705454.54545455</v>
      </c>
    </row>
    <row r="49" spans="2:13" ht="26.25" thickBot="1">
      <c r="B49" s="94" t="s">
        <v>259</v>
      </c>
      <c r="C49" s="206"/>
      <c r="D49" s="207">
        <f>+D47+D48</f>
        <v>63510109.09090909</v>
      </c>
      <c r="E49" s="207">
        <f aca="true" t="shared" si="10" ref="E49:M49">+E47+E48</f>
        <v>63510109.09090909</v>
      </c>
      <c r="F49" s="207">
        <f t="shared" si="10"/>
        <v>63510109.09090909</v>
      </c>
      <c r="G49" s="207">
        <f t="shared" si="10"/>
        <v>63510109.09090909</v>
      </c>
      <c r="H49" s="207">
        <f t="shared" si="10"/>
        <v>63510109.09090909</v>
      </c>
      <c r="I49" s="207">
        <f t="shared" si="10"/>
        <v>63510109.09090909</v>
      </c>
      <c r="J49" s="207">
        <f t="shared" si="10"/>
        <v>63510109.09090909</v>
      </c>
      <c r="K49" s="207">
        <f t="shared" si="10"/>
        <v>63510109.09090909</v>
      </c>
      <c r="L49" s="207">
        <f t="shared" si="10"/>
        <v>63510109.09090909</v>
      </c>
      <c r="M49" s="208">
        <f t="shared" si="10"/>
        <v>63510109.09090909</v>
      </c>
    </row>
  </sheetData>
  <mergeCells count="8">
    <mergeCell ref="B3:N3"/>
    <mergeCell ref="B4:N4"/>
    <mergeCell ref="B43:M43"/>
    <mergeCell ref="B42:M42"/>
    <mergeCell ref="B31:H31"/>
    <mergeCell ref="B32:H32"/>
    <mergeCell ref="B20:P20"/>
    <mergeCell ref="B21:P21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6"/>
  <sheetViews>
    <sheetView showGridLines="0" workbookViewId="0" topLeftCell="A1">
      <selection activeCell="E16" sqref="E16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8.421875" style="0" bestFit="1" customWidth="1"/>
  </cols>
  <sheetData>
    <row r="2" ht="13.5" thickBot="1"/>
    <row r="3" spans="1:3" ht="13.5" thickBot="1">
      <c r="A3" s="170"/>
      <c r="B3" s="230" t="s">
        <v>214</v>
      </c>
      <c r="C3" s="231"/>
    </row>
    <row r="4" spans="1:3" ht="12.75">
      <c r="A4" s="171"/>
      <c r="B4" s="146"/>
      <c r="C4" s="150"/>
    </row>
    <row r="5" spans="1:3" ht="12.75">
      <c r="A5" s="171"/>
      <c r="B5" s="146"/>
      <c r="C5" s="143"/>
    </row>
    <row r="6" spans="1:3" ht="12.75">
      <c r="A6" s="172"/>
      <c r="B6" s="151"/>
      <c r="C6" s="181" t="s">
        <v>217</v>
      </c>
    </row>
    <row r="7" spans="1:3" ht="12.75">
      <c r="A7" s="171"/>
      <c r="B7" s="146" t="s">
        <v>219</v>
      </c>
      <c r="C7" s="182"/>
    </row>
    <row r="8" spans="1:3" ht="12.75">
      <c r="A8" s="171"/>
      <c r="B8" s="147" t="s">
        <v>220</v>
      </c>
      <c r="C8" s="183"/>
    </row>
    <row r="9" spans="1:3" ht="12.75">
      <c r="A9" s="171"/>
      <c r="B9" s="147" t="s">
        <v>221</v>
      </c>
      <c r="C9" s="184">
        <v>0</v>
      </c>
    </row>
    <row r="10" spans="1:3" ht="12.75">
      <c r="A10" s="171"/>
      <c r="B10" s="148" t="s">
        <v>222</v>
      </c>
      <c r="C10" s="185">
        <f>+'Cuadro 3'!D10</f>
        <v>623760000</v>
      </c>
    </row>
    <row r="11" spans="1:3" ht="13.5" thickBot="1">
      <c r="A11" s="173" t="s">
        <v>226</v>
      </c>
      <c r="B11" s="146" t="s">
        <v>223</v>
      </c>
      <c r="C11" s="186">
        <f>SUM(C8:C10)</f>
        <v>623760000</v>
      </c>
    </row>
    <row r="12" spans="1:3" ht="13.5" thickTop="1">
      <c r="A12" s="173"/>
      <c r="B12" s="146" t="s">
        <v>232</v>
      </c>
      <c r="C12" s="185"/>
    </row>
    <row r="13" spans="1:3" ht="12.75">
      <c r="A13" s="173"/>
      <c r="B13" s="147" t="s">
        <v>224</v>
      </c>
      <c r="C13" s="185">
        <v>0</v>
      </c>
    </row>
    <row r="14" spans="1:3" ht="13.5" thickBot="1">
      <c r="A14" s="173" t="s">
        <v>227</v>
      </c>
      <c r="B14" s="146" t="s">
        <v>233</v>
      </c>
      <c r="C14" s="187">
        <v>0</v>
      </c>
    </row>
    <row r="15" spans="1:3" ht="14.25" thickBot="1" thickTop="1">
      <c r="A15" s="173" t="s">
        <v>228</v>
      </c>
      <c r="B15" s="146" t="s">
        <v>225</v>
      </c>
      <c r="C15" s="188">
        <f>C11</f>
        <v>623760000</v>
      </c>
    </row>
    <row r="16" spans="1:3" ht="14.25" thickBot="1" thickTop="1">
      <c r="A16" s="173" t="s">
        <v>229</v>
      </c>
      <c r="B16" s="146" t="s">
        <v>231</v>
      </c>
      <c r="C16" s="189">
        <f>+'Cuadro 3'!D14</f>
        <v>799551878.8951972</v>
      </c>
    </row>
    <row r="17" spans="1:3" ht="14.25" thickBot="1" thickTop="1">
      <c r="A17" s="174" t="s">
        <v>230</v>
      </c>
      <c r="B17" s="149" t="s">
        <v>214</v>
      </c>
      <c r="C17" s="190">
        <f>+C16+C15</f>
        <v>1423311878.8951972</v>
      </c>
    </row>
    <row r="19" spans="2:3" ht="12.75">
      <c r="B19" s="102"/>
      <c r="C19" s="168"/>
    </row>
    <row r="21" spans="1:3" ht="12.75">
      <c r="A21" s="96"/>
      <c r="B21" s="234"/>
      <c r="C21" s="234"/>
    </row>
    <row r="22" spans="1:3" ht="12.75">
      <c r="A22" s="96"/>
      <c r="B22" s="102"/>
      <c r="C22" s="102"/>
    </row>
    <row r="23" spans="1:3" ht="12.75">
      <c r="A23" s="96"/>
      <c r="B23" s="102"/>
      <c r="C23" s="161"/>
    </row>
    <row r="24" spans="1:3" ht="12.75">
      <c r="A24" s="96"/>
      <c r="B24" s="137"/>
      <c r="C24" s="78"/>
    </row>
    <row r="25" spans="1:3" ht="12.75">
      <c r="A25" s="96"/>
      <c r="B25" s="102"/>
      <c r="C25" s="159"/>
    </row>
    <row r="26" spans="1:3" ht="12.75">
      <c r="A26" s="96"/>
      <c r="B26" s="138"/>
      <c r="C26" s="160"/>
    </row>
    <row r="27" spans="1:3" ht="12.75">
      <c r="A27" s="96"/>
      <c r="B27" s="138"/>
      <c r="C27" s="160"/>
    </row>
    <row r="28" spans="1:3" ht="12.75">
      <c r="A28" s="96"/>
      <c r="B28" s="140"/>
      <c r="C28" s="159"/>
    </row>
    <row r="29" spans="1:3" ht="12.75">
      <c r="A29" s="102"/>
      <c r="B29" s="102"/>
      <c r="C29" s="162"/>
    </row>
    <row r="30" spans="1:3" ht="12.75">
      <c r="A30" s="102"/>
      <c r="B30" s="102"/>
      <c r="C30" s="159"/>
    </row>
    <row r="31" spans="1:3" ht="12.75">
      <c r="A31" s="102"/>
      <c r="B31" s="138"/>
      <c r="C31" s="159"/>
    </row>
    <row r="32" spans="1:3" ht="12.75">
      <c r="A32" s="102"/>
      <c r="B32" s="102"/>
      <c r="C32" s="162"/>
    </row>
    <row r="33" spans="1:3" ht="12.75">
      <c r="A33" s="102"/>
      <c r="B33" s="102"/>
      <c r="C33" s="162"/>
    </row>
    <row r="34" spans="1:3" ht="12.75">
      <c r="A34" s="102"/>
      <c r="B34" s="102"/>
      <c r="C34" s="162"/>
    </row>
    <row r="35" spans="1:3" ht="12.75">
      <c r="A35" s="102"/>
      <c r="B35" s="102"/>
      <c r="C35" s="162"/>
    </row>
    <row r="36" spans="1:3" ht="12.75">
      <c r="A36" s="102"/>
      <c r="B36" s="102"/>
      <c r="C36" s="163"/>
    </row>
  </sheetData>
  <mergeCells count="2">
    <mergeCell ref="B3:C3"/>
    <mergeCell ref="B21:C2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B5" sqref="B5"/>
    </sheetView>
  </sheetViews>
  <sheetFormatPr defaultColWidth="11.421875" defaultRowHeight="12.75"/>
  <cols>
    <col min="1" max="1" width="19.57421875" style="0" bestFit="1" customWidth="1"/>
    <col min="2" max="2" width="15.7109375" style="0" customWidth="1"/>
    <col min="3" max="3" width="23.8515625" style="0" customWidth="1"/>
    <col min="4" max="4" width="13.00390625" style="0" bestFit="1" customWidth="1"/>
    <col min="5" max="5" width="14.7109375" style="0" customWidth="1"/>
    <col min="6" max="6" width="16.28125" style="0" customWidth="1"/>
    <col min="7" max="10" width="15.421875" style="0" customWidth="1"/>
    <col min="11" max="11" width="17.140625" style="0" customWidth="1"/>
    <col min="12" max="12" width="17.421875" style="0" customWidth="1"/>
  </cols>
  <sheetData>
    <row r="1" spans="1:12" ht="12.75">
      <c r="A1" s="242" t="s">
        <v>13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3" spans="1:12" ht="25.5">
      <c r="A3" s="27" t="s">
        <v>14</v>
      </c>
      <c r="B3" s="23" t="s">
        <v>15</v>
      </c>
      <c r="C3" s="23" t="s">
        <v>84</v>
      </c>
      <c r="D3" s="23" t="s">
        <v>16</v>
      </c>
      <c r="E3" s="23" t="s">
        <v>83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</row>
    <row r="4" spans="1:12" ht="12.75">
      <c r="A4" s="14" t="s">
        <v>24</v>
      </c>
      <c r="B4" s="15">
        <v>3000000</v>
      </c>
      <c r="C4" s="16">
        <f>+(B4*4.16%)</f>
        <v>124800</v>
      </c>
      <c r="D4" s="16">
        <f aca="true" t="shared" si="0" ref="D4:D13">+((B4/30)*15)/12</f>
        <v>125000</v>
      </c>
      <c r="E4" s="16">
        <f>+B4*9%</f>
        <v>270000</v>
      </c>
      <c r="F4" s="16">
        <f>+B4*2%</f>
        <v>60000</v>
      </c>
      <c r="G4" s="16">
        <f aca="true" t="shared" si="1" ref="G4:G13">+((B4/30)*7)/12</f>
        <v>58333.333333333336</v>
      </c>
      <c r="H4" s="16">
        <v>0</v>
      </c>
      <c r="I4" s="16">
        <f aca="true" t="shared" si="2" ref="I4:I13">((B4+C4)/30)*5</f>
        <v>520800</v>
      </c>
      <c r="J4" s="16">
        <f aca="true" t="shared" si="3" ref="J4:J13">+B4*1.7%</f>
        <v>51000.00000000001</v>
      </c>
      <c r="K4" s="16">
        <f aca="true" t="shared" si="4" ref="K4:K13">+B4*2%</f>
        <v>60000</v>
      </c>
      <c r="L4" s="17">
        <f aca="true" t="shared" si="5" ref="L4:L13">SUM(B4:K4)</f>
        <v>4269933.333333334</v>
      </c>
    </row>
    <row r="5" spans="1:12" ht="12.75">
      <c r="A5" s="14" t="s">
        <v>25</v>
      </c>
      <c r="B5" s="15">
        <v>3000000</v>
      </c>
      <c r="C5" s="16">
        <f aca="true" t="shared" si="6" ref="C5:C13">+(B5*4.1%)</f>
        <v>122999.99999999999</v>
      </c>
      <c r="D5" s="16">
        <f t="shared" si="0"/>
        <v>125000</v>
      </c>
      <c r="E5" s="16">
        <f aca="true" t="shared" si="7" ref="E5:E13">+B5*9%</f>
        <v>270000</v>
      </c>
      <c r="F5" s="16">
        <f aca="true" t="shared" si="8" ref="F5:F13">+B5*2%</f>
        <v>60000</v>
      </c>
      <c r="G5" s="16">
        <f t="shared" si="1"/>
        <v>58333.333333333336</v>
      </c>
      <c r="H5" s="16">
        <v>0</v>
      </c>
      <c r="I5" s="16">
        <f t="shared" si="2"/>
        <v>520500</v>
      </c>
      <c r="J5" s="16">
        <f t="shared" si="3"/>
        <v>51000.00000000001</v>
      </c>
      <c r="K5" s="16">
        <f t="shared" si="4"/>
        <v>60000</v>
      </c>
      <c r="L5" s="17">
        <f t="shared" si="5"/>
        <v>4267833.333333334</v>
      </c>
    </row>
    <row r="6" spans="1:12" ht="12.75">
      <c r="A6" s="14" t="s">
        <v>26</v>
      </c>
      <c r="B6" s="15">
        <v>2000000</v>
      </c>
      <c r="C6" s="16">
        <f t="shared" si="6"/>
        <v>81999.99999999999</v>
      </c>
      <c r="D6" s="16">
        <f t="shared" si="0"/>
        <v>83333.33333333334</v>
      </c>
      <c r="E6" s="16">
        <f t="shared" si="7"/>
        <v>180000</v>
      </c>
      <c r="F6" s="16">
        <f t="shared" si="8"/>
        <v>40000</v>
      </c>
      <c r="G6" s="16">
        <f t="shared" si="1"/>
        <v>38888.88888888889</v>
      </c>
      <c r="H6" s="16">
        <v>0</v>
      </c>
      <c r="I6" s="16">
        <f t="shared" si="2"/>
        <v>347000</v>
      </c>
      <c r="J6" s="16">
        <f t="shared" si="3"/>
        <v>34000</v>
      </c>
      <c r="K6" s="16">
        <f t="shared" si="4"/>
        <v>40000</v>
      </c>
      <c r="L6" s="17">
        <f t="shared" si="5"/>
        <v>2845222.2222222225</v>
      </c>
    </row>
    <row r="7" spans="1:12" ht="12.75">
      <c r="A7" s="14" t="s">
        <v>27</v>
      </c>
      <c r="B7" s="15">
        <v>1500000</v>
      </c>
      <c r="C7" s="16">
        <f t="shared" si="6"/>
        <v>61499.99999999999</v>
      </c>
      <c r="D7" s="16">
        <f t="shared" si="0"/>
        <v>62500</v>
      </c>
      <c r="E7" s="16">
        <f t="shared" si="7"/>
        <v>135000</v>
      </c>
      <c r="F7" s="16">
        <f t="shared" si="8"/>
        <v>30000</v>
      </c>
      <c r="G7" s="16">
        <f t="shared" si="1"/>
        <v>29166.666666666668</v>
      </c>
      <c r="H7" s="16">
        <v>0</v>
      </c>
      <c r="I7" s="16">
        <f t="shared" si="2"/>
        <v>260250</v>
      </c>
      <c r="J7" s="16">
        <f t="shared" si="3"/>
        <v>25500.000000000004</v>
      </c>
      <c r="K7" s="16">
        <f t="shared" si="4"/>
        <v>30000</v>
      </c>
      <c r="L7" s="17">
        <f t="shared" si="5"/>
        <v>2133916.666666667</v>
      </c>
    </row>
    <row r="8" spans="1:12" ht="12.75">
      <c r="A8" s="14" t="s">
        <v>28</v>
      </c>
      <c r="B8" s="15">
        <v>2500000</v>
      </c>
      <c r="C8" s="16">
        <f t="shared" si="6"/>
        <v>102499.99999999999</v>
      </c>
      <c r="D8" s="16">
        <f t="shared" si="0"/>
        <v>104166.66666666667</v>
      </c>
      <c r="E8" s="16">
        <f t="shared" si="7"/>
        <v>225000</v>
      </c>
      <c r="F8" s="16">
        <f t="shared" si="8"/>
        <v>50000</v>
      </c>
      <c r="G8" s="16">
        <f t="shared" si="1"/>
        <v>48611.1111111111</v>
      </c>
      <c r="H8" s="16">
        <f aca="true" t="shared" si="9" ref="H8:H13">6000*20</f>
        <v>120000</v>
      </c>
      <c r="I8" s="16">
        <f t="shared" si="2"/>
        <v>433750</v>
      </c>
      <c r="J8" s="16">
        <f t="shared" si="3"/>
        <v>42500</v>
      </c>
      <c r="K8" s="16">
        <f t="shared" si="4"/>
        <v>50000</v>
      </c>
      <c r="L8" s="17">
        <f t="shared" si="5"/>
        <v>3676527.7777777775</v>
      </c>
    </row>
    <row r="9" spans="1:12" ht="12.75">
      <c r="A9" s="14" t="s">
        <v>29</v>
      </c>
      <c r="B9" s="15">
        <f>512325*40</f>
        <v>20493000</v>
      </c>
      <c r="C9" s="16">
        <f t="shared" si="6"/>
        <v>840212.9999999999</v>
      </c>
      <c r="D9" s="16">
        <f t="shared" si="0"/>
        <v>853875</v>
      </c>
      <c r="E9" s="16">
        <f t="shared" si="7"/>
        <v>1844370</v>
      </c>
      <c r="F9" s="16">
        <f t="shared" si="8"/>
        <v>409860</v>
      </c>
      <c r="G9" s="16">
        <f t="shared" si="1"/>
        <v>398475</v>
      </c>
      <c r="H9" s="16">
        <f t="shared" si="9"/>
        <v>120000</v>
      </c>
      <c r="I9" s="16">
        <f t="shared" si="2"/>
        <v>3555535.5</v>
      </c>
      <c r="J9" s="16">
        <f t="shared" si="3"/>
        <v>348381</v>
      </c>
      <c r="K9" s="16">
        <f t="shared" si="4"/>
        <v>409860</v>
      </c>
      <c r="L9" s="17">
        <f t="shared" si="5"/>
        <v>29273569.5</v>
      </c>
    </row>
    <row r="10" spans="1:12" ht="12.75">
      <c r="A10" s="14" t="s">
        <v>81</v>
      </c>
      <c r="B10" s="15">
        <v>700000</v>
      </c>
      <c r="C10" s="16">
        <f t="shared" si="6"/>
        <v>28699.999999999996</v>
      </c>
      <c r="D10" s="16">
        <f>+((B10/30)*15)/12</f>
        <v>29166.666666666668</v>
      </c>
      <c r="E10" s="16">
        <f t="shared" si="7"/>
        <v>63000</v>
      </c>
      <c r="F10" s="16">
        <f t="shared" si="8"/>
        <v>14000</v>
      </c>
      <c r="G10" s="16">
        <f>+((B10/30)*7)/12</f>
        <v>13611.11111111111</v>
      </c>
      <c r="H10" s="16">
        <f t="shared" si="9"/>
        <v>120000</v>
      </c>
      <c r="I10" s="16">
        <f>((B10+C10)/30)*5</f>
        <v>121450</v>
      </c>
      <c r="J10" s="16">
        <f>+B10*1.7%</f>
        <v>11900</v>
      </c>
      <c r="K10" s="16">
        <f>+B10*2%</f>
        <v>14000</v>
      </c>
      <c r="L10" s="17">
        <f>SUM(B10:K10)</f>
        <v>1115827.7777777778</v>
      </c>
    </row>
    <row r="11" spans="1:12" ht="12.75">
      <c r="A11" s="14" t="s">
        <v>82</v>
      </c>
      <c r="B11" s="15">
        <v>900000</v>
      </c>
      <c r="C11" s="16">
        <f t="shared" si="6"/>
        <v>36899.99999999999</v>
      </c>
      <c r="D11" s="16">
        <f>+((B11/30)*15)/12</f>
        <v>37500</v>
      </c>
      <c r="E11" s="16">
        <f t="shared" si="7"/>
        <v>81000</v>
      </c>
      <c r="F11" s="16">
        <f t="shared" si="8"/>
        <v>18000</v>
      </c>
      <c r="G11" s="16">
        <f>+((B11/30)*7)/12</f>
        <v>17500</v>
      </c>
      <c r="H11" s="16">
        <f t="shared" si="9"/>
        <v>120000</v>
      </c>
      <c r="I11" s="16">
        <f>((B11+C11)/30)*5</f>
        <v>156150</v>
      </c>
      <c r="J11" s="16">
        <f>+B11*1.7%</f>
        <v>15300.000000000002</v>
      </c>
      <c r="K11" s="16">
        <f>+B11*2%</f>
        <v>18000</v>
      </c>
      <c r="L11" s="17">
        <f>SUM(B11:K11)</f>
        <v>1400350</v>
      </c>
    </row>
    <row r="12" spans="1:12" ht="12.75">
      <c r="A12" s="14" t="s">
        <v>30</v>
      </c>
      <c r="B12" s="15">
        <f>512325</f>
        <v>512325</v>
      </c>
      <c r="C12" s="16">
        <f t="shared" si="6"/>
        <v>21005.324999999997</v>
      </c>
      <c r="D12" s="16">
        <f t="shared" si="0"/>
        <v>21346.875</v>
      </c>
      <c r="E12" s="16">
        <f t="shared" si="7"/>
        <v>46109.25</v>
      </c>
      <c r="F12" s="16">
        <f t="shared" si="8"/>
        <v>10246.5</v>
      </c>
      <c r="G12" s="16">
        <f t="shared" si="1"/>
        <v>9961.875</v>
      </c>
      <c r="H12" s="16">
        <f t="shared" si="9"/>
        <v>120000</v>
      </c>
      <c r="I12" s="16">
        <f t="shared" si="2"/>
        <v>88888.38749999998</v>
      </c>
      <c r="J12" s="16">
        <f t="shared" si="3"/>
        <v>8709.525000000001</v>
      </c>
      <c r="K12" s="16">
        <f t="shared" si="4"/>
        <v>10246.5</v>
      </c>
      <c r="L12" s="17">
        <f t="shared" si="5"/>
        <v>848839.2374999999</v>
      </c>
    </row>
    <row r="13" spans="1:12" ht="12.75">
      <c r="A13" s="14" t="s">
        <v>79</v>
      </c>
      <c r="B13" s="15">
        <v>600000</v>
      </c>
      <c r="C13" s="16">
        <f t="shared" si="6"/>
        <v>24599.999999999996</v>
      </c>
      <c r="D13" s="16">
        <f t="shared" si="0"/>
        <v>25000</v>
      </c>
      <c r="E13" s="16">
        <f t="shared" si="7"/>
        <v>54000</v>
      </c>
      <c r="F13" s="16">
        <f t="shared" si="8"/>
        <v>12000</v>
      </c>
      <c r="G13" s="16">
        <f t="shared" si="1"/>
        <v>11666.666666666666</v>
      </c>
      <c r="H13" s="16">
        <f t="shared" si="9"/>
        <v>120000</v>
      </c>
      <c r="I13" s="16">
        <f t="shared" si="2"/>
        <v>104100</v>
      </c>
      <c r="J13" s="16">
        <f t="shared" si="3"/>
        <v>10200</v>
      </c>
      <c r="K13" s="16">
        <f t="shared" si="4"/>
        <v>12000</v>
      </c>
      <c r="L13" s="17">
        <f t="shared" si="5"/>
        <v>973566.6666666666</v>
      </c>
    </row>
    <row r="14" spans="2:12" ht="12.75">
      <c r="B14" s="18"/>
      <c r="C14" s="19"/>
      <c r="D14" s="19"/>
      <c r="E14" s="19"/>
      <c r="F14" s="19"/>
      <c r="G14" s="19"/>
      <c r="H14" s="19"/>
      <c r="I14" s="19"/>
      <c r="K14" s="20" t="s">
        <v>31</v>
      </c>
      <c r="L14" s="20">
        <f>SUM(L4:L13)</f>
        <v>50805586.515277766</v>
      </c>
    </row>
    <row r="15" spans="2:12" ht="12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1"/>
    </row>
    <row r="16" spans="2:12" ht="12.7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1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sheet="1" objects="1" scenarios="1" selectLockedCells="1"/>
  <mergeCells count="1">
    <mergeCell ref="A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showGridLines="0" workbookViewId="0" topLeftCell="A1">
      <selection activeCell="B2" sqref="B2:J2"/>
    </sheetView>
  </sheetViews>
  <sheetFormatPr defaultColWidth="11.421875" defaultRowHeight="12.75"/>
  <cols>
    <col min="2" max="2" width="21.28125" style="0" customWidth="1"/>
    <col min="3" max="4" width="15.57421875" style="0" bestFit="1" customWidth="1"/>
    <col min="7" max="7" width="16.57421875" style="0" customWidth="1"/>
    <col min="8" max="8" width="14.28125" style="0" customWidth="1"/>
    <col min="9" max="9" width="15.8515625" style="0" customWidth="1"/>
  </cols>
  <sheetData>
    <row r="2" spans="2:10" ht="15.75">
      <c r="B2" s="243" t="s">
        <v>189</v>
      </c>
      <c r="C2" s="243"/>
      <c r="D2" s="243"/>
      <c r="E2" s="243"/>
      <c r="F2" s="243"/>
      <c r="G2" s="243"/>
      <c r="H2" s="243"/>
      <c r="I2" s="243"/>
      <c r="J2" s="243"/>
    </row>
    <row r="3" spans="2:9" ht="12.75">
      <c r="B3" s="44" t="s">
        <v>162</v>
      </c>
      <c r="C3" s="12"/>
      <c r="D3" s="12"/>
      <c r="G3" s="44" t="s">
        <v>163</v>
      </c>
      <c r="H3" s="12"/>
      <c r="I3" s="12"/>
    </row>
    <row r="4" spans="3:9" ht="12.75">
      <c r="C4" s="12"/>
      <c r="D4" s="12"/>
      <c r="H4" s="12"/>
      <c r="I4" s="12"/>
    </row>
    <row r="5" spans="2:10" ht="38.25">
      <c r="B5" s="114" t="s">
        <v>166</v>
      </c>
      <c r="C5" s="114" t="s">
        <v>167</v>
      </c>
      <c r="D5" s="114" t="s">
        <v>168</v>
      </c>
      <c r="E5" s="114" t="s">
        <v>169</v>
      </c>
      <c r="G5" s="114" t="s">
        <v>166</v>
      </c>
      <c r="H5" s="114" t="s">
        <v>167</v>
      </c>
      <c r="I5" s="114" t="s">
        <v>168</v>
      </c>
      <c r="J5" s="114" t="s">
        <v>169</v>
      </c>
    </row>
    <row r="6" spans="2:10" ht="12.75">
      <c r="B6" s="24" t="s">
        <v>170</v>
      </c>
      <c r="C6" s="112">
        <v>6.24</v>
      </c>
      <c r="D6" s="22">
        <v>1250</v>
      </c>
      <c r="E6" s="22">
        <v>7800</v>
      </c>
      <c r="G6" s="24" t="s">
        <v>170</v>
      </c>
      <c r="H6" s="112">
        <v>6.24</v>
      </c>
      <c r="I6" s="22">
        <v>1250</v>
      </c>
      <c r="J6" s="22">
        <f>+I6*H6</f>
        <v>7800</v>
      </c>
    </row>
    <row r="7" spans="2:10" ht="25.5">
      <c r="B7" s="24" t="s">
        <v>171</v>
      </c>
      <c r="C7" s="112">
        <v>0.16320000000000007</v>
      </c>
      <c r="D7" s="22">
        <v>2150</v>
      </c>
      <c r="E7" s="22">
        <v>350.88</v>
      </c>
      <c r="G7" s="24" t="s">
        <v>183</v>
      </c>
      <c r="H7" s="112">
        <v>0.19584000000000001</v>
      </c>
      <c r="I7" s="22">
        <v>2150</v>
      </c>
      <c r="J7" s="22">
        <f>+I7*H7</f>
        <v>421.05600000000004</v>
      </c>
    </row>
    <row r="8" spans="2:10" ht="12.75">
      <c r="B8" s="24" t="s">
        <v>172</v>
      </c>
      <c r="C8" s="112">
        <v>0.09792000000000001</v>
      </c>
      <c r="D8" s="22">
        <v>380</v>
      </c>
      <c r="E8" s="22">
        <v>37.2096</v>
      </c>
      <c r="G8" s="24" t="s">
        <v>184</v>
      </c>
      <c r="H8" s="112">
        <v>0.014688000000000003</v>
      </c>
      <c r="I8" s="22">
        <v>24000</v>
      </c>
      <c r="J8" s="22">
        <f>+I8*H8</f>
        <v>352.51200000000006</v>
      </c>
    </row>
    <row r="9" spans="2:10" ht="12.75">
      <c r="B9" s="24" t="s">
        <v>173</v>
      </c>
      <c r="C9" s="112">
        <v>1.3708800000000003</v>
      </c>
      <c r="D9" s="22">
        <v>380</v>
      </c>
      <c r="E9" s="22">
        <v>520.9344000000001</v>
      </c>
      <c r="G9" s="24" t="s">
        <v>172</v>
      </c>
      <c r="H9" s="112">
        <v>0.09792000000000001</v>
      </c>
      <c r="I9" s="22">
        <f>380</f>
        <v>380</v>
      </c>
      <c r="J9" s="22">
        <f>+I9*H9</f>
        <v>37.2096</v>
      </c>
    </row>
    <row r="10" spans="2:10" ht="12.75">
      <c r="B10" s="24" t="s">
        <v>174</v>
      </c>
      <c r="C10" s="111" t="s">
        <v>175</v>
      </c>
      <c r="D10" s="22">
        <v>150</v>
      </c>
      <c r="E10" s="22">
        <v>7200</v>
      </c>
      <c r="G10" s="24" t="s">
        <v>173</v>
      </c>
      <c r="H10" s="112">
        <v>1.3708800000000003</v>
      </c>
      <c r="I10" s="22">
        <f>380</f>
        <v>380</v>
      </c>
      <c r="J10" s="22">
        <f>+I10*H10</f>
        <v>520.9344000000001</v>
      </c>
    </row>
    <row r="11" spans="2:10" ht="25.5">
      <c r="B11" s="24" t="s">
        <v>176</v>
      </c>
      <c r="C11" s="111" t="s">
        <v>177</v>
      </c>
      <c r="D11" s="22">
        <v>5130</v>
      </c>
      <c r="E11" s="22">
        <v>205.2</v>
      </c>
      <c r="G11" s="24" t="s">
        <v>174</v>
      </c>
      <c r="H11" s="111" t="s">
        <v>175</v>
      </c>
      <c r="I11" s="22">
        <f>150</f>
        <v>150</v>
      </c>
      <c r="J11" s="22">
        <f>+I11*48</f>
        <v>7200</v>
      </c>
    </row>
    <row r="12" spans="2:10" ht="38.25">
      <c r="B12" s="24" t="s">
        <v>178</v>
      </c>
      <c r="C12" s="111" t="s">
        <v>179</v>
      </c>
      <c r="D12" s="22">
        <v>9</v>
      </c>
      <c r="E12" s="22">
        <v>432</v>
      </c>
      <c r="G12" s="24" t="s">
        <v>176</v>
      </c>
      <c r="H12" s="111" t="s">
        <v>177</v>
      </c>
      <c r="I12" s="22">
        <v>5130</v>
      </c>
      <c r="J12" s="22">
        <f>+I12*0.04</f>
        <v>205.20000000000002</v>
      </c>
    </row>
    <row r="13" spans="2:10" ht="12.75">
      <c r="B13" s="24" t="s">
        <v>180</v>
      </c>
      <c r="C13" s="111" t="s">
        <v>181</v>
      </c>
      <c r="D13" s="22">
        <v>9</v>
      </c>
      <c r="E13" s="22">
        <v>9</v>
      </c>
      <c r="G13" s="24" t="s">
        <v>178</v>
      </c>
      <c r="H13" s="111" t="s">
        <v>179</v>
      </c>
      <c r="I13" s="22">
        <v>9</v>
      </c>
      <c r="J13" s="22">
        <f>+I13*48</f>
        <v>432</v>
      </c>
    </row>
    <row r="14" spans="2:10" ht="12.75">
      <c r="B14" s="244" t="s">
        <v>182</v>
      </c>
      <c r="C14" s="244"/>
      <c r="D14" s="244"/>
      <c r="E14" s="26">
        <f>SUM(E6:E13)</f>
        <v>16555.224000000002</v>
      </c>
      <c r="G14" s="24" t="s">
        <v>180</v>
      </c>
      <c r="H14" s="111" t="s">
        <v>181</v>
      </c>
      <c r="I14" s="22">
        <v>9</v>
      </c>
      <c r="J14" s="22">
        <v>9</v>
      </c>
    </row>
    <row r="15" spans="2:10" ht="12.75">
      <c r="B15" s="44"/>
      <c r="C15" s="12"/>
      <c r="D15" s="12"/>
      <c r="G15" s="244" t="s">
        <v>182</v>
      </c>
      <c r="H15" s="244"/>
      <c r="I15" s="244"/>
      <c r="J15" s="26">
        <f>SUM(J6:J14)</f>
        <v>16977.912</v>
      </c>
    </row>
    <row r="16" spans="2:9" ht="12.75">
      <c r="B16" s="44" t="s">
        <v>164</v>
      </c>
      <c r="G16" s="44"/>
      <c r="H16" s="12"/>
      <c r="I16" s="12"/>
    </row>
    <row r="17" ht="13.5" thickBot="1"/>
    <row r="18" spans="2:9" ht="39" thickBot="1">
      <c r="B18" s="114" t="s">
        <v>166</v>
      </c>
      <c r="C18" s="114" t="s">
        <v>167</v>
      </c>
      <c r="D18" s="114" t="s">
        <v>168</v>
      </c>
      <c r="E18" s="114" t="s">
        <v>169</v>
      </c>
      <c r="G18" s="227" t="s">
        <v>188</v>
      </c>
      <c r="H18" s="245"/>
      <c r="I18" s="246"/>
    </row>
    <row r="19" spans="2:9" ht="38.25" customHeight="1">
      <c r="B19" s="14" t="s">
        <v>170</v>
      </c>
      <c r="C19" s="112">
        <v>6.24</v>
      </c>
      <c r="D19" s="22">
        <v>1250</v>
      </c>
      <c r="E19" s="22">
        <f aca="true" t="shared" si="0" ref="E19:E24">+D19*C19</f>
        <v>7800</v>
      </c>
      <c r="G19" s="116" t="s">
        <v>32</v>
      </c>
      <c r="H19" s="247" t="s">
        <v>187</v>
      </c>
      <c r="I19" s="247"/>
    </row>
    <row r="20" spans="2:9" ht="25.5">
      <c r="B20" s="14" t="s">
        <v>183</v>
      </c>
      <c r="C20" s="112">
        <v>0.19584000000000001</v>
      </c>
      <c r="D20" s="22">
        <v>2150</v>
      </c>
      <c r="E20" s="22">
        <f t="shared" si="0"/>
        <v>421.05600000000004</v>
      </c>
      <c r="G20" s="24" t="s">
        <v>35</v>
      </c>
      <c r="H20" s="248">
        <v>0.7</v>
      </c>
      <c r="I20" s="248"/>
    </row>
    <row r="21" spans="2:9" ht="38.25">
      <c r="B21" s="14" t="s">
        <v>184</v>
      </c>
      <c r="C21" s="112">
        <v>0.014688000000000003</v>
      </c>
      <c r="D21" s="22">
        <v>24000</v>
      </c>
      <c r="E21" s="22">
        <f t="shared" si="0"/>
        <v>352.51200000000006</v>
      </c>
      <c r="G21" s="24" t="s">
        <v>36</v>
      </c>
      <c r="H21" s="248">
        <v>0.2</v>
      </c>
      <c r="I21" s="248"/>
    </row>
    <row r="22" spans="2:9" ht="25.5">
      <c r="B22" s="14" t="s">
        <v>185</v>
      </c>
      <c r="C22" s="113">
        <v>0.0032640000000000004</v>
      </c>
      <c r="D22" s="22">
        <v>45000</v>
      </c>
      <c r="E22" s="22">
        <f t="shared" si="0"/>
        <v>146.88000000000002</v>
      </c>
      <c r="G22" s="24" t="s">
        <v>37</v>
      </c>
      <c r="H22" s="248">
        <v>0.1</v>
      </c>
      <c r="I22" s="248"/>
    </row>
    <row r="23" spans="2:5" ht="13.5" thickBot="1">
      <c r="B23" s="14" t="s">
        <v>172</v>
      </c>
      <c r="C23" s="112">
        <v>0.09792000000000001</v>
      </c>
      <c r="D23" s="22">
        <f>380</f>
        <v>380</v>
      </c>
      <c r="E23" s="22">
        <f t="shared" si="0"/>
        <v>37.2096</v>
      </c>
    </row>
    <row r="24" spans="2:9" ht="13.5" thickBot="1">
      <c r="B24" s="14" t="s">
        <v>173</v>
      </c>
      <c r="C24" s="112">
        <v>1.3708800000000003</v>
      </c>
      <c r="D24" s="22">
        <f>380</f>
        <v>380</v>
      </c>
      <c r="E24" s="22">
        <f t="shared" si="0"/>
        <v>520.9344000000001</v>
      </c>
      <c r="G24" s="227" t="s">
        <v>186</v>
      </c>
      <c r="H24" s="228"/>
      <c r="I24" s="229"/>
    </row>
    <row r="25" spans="2:9" ht="38.25">
      <c r="B25" s="14" t="s">
        <v>174</v>
      </c>
      <c r="C25" s="111" t="s">
        <v>175</v>
      </c>
      <c r="D25" s="22">
        <f>150</f>
        <v>150</v>
      </c>
      <c r="E25" s="22">
        <f>+D25*48</f>
        <v>7200</v>
      </c>
      <c r="G25" s="116" t="s">
        <v>32</v>
      </c>
      <c r="H25" s="116" t="s">
        <v>33</v>
      </c>
      <c r="I25" s="116" t="s">
        <v>34</v>
      </c>
    </row>
    <row r="26" spans="2:9" ht="25.5">
      <c r="B26" s="115" t="s">
        <v>176</v>
      </c>
      <c r="C26" s="111" t="s">
        <v>177</v>
      </c>
      <c r="D26" s="22">
        <v>5130</v>
      </c>
      <c r="E26" s="22">
        <f>+D26*0.04</f>
        <v>205.20000000000002</v>
      </c>
      <c r="G26" s="24" t="s">
        <v>35</v>
      </c>
      <c r="H26" s="22">
        <f>E14*'Cuadro 1'!C42*H20*2400</f>
        <v>556255526.4</v>
      </c>
      <c r="I26" s="22">
        <f>16555*20*70%*2400*12</f>
        <v>6674975999.999998</v>
      </c>
    </row>
    <row r="27" spans="2:9" ht="38.25">
      <c r="B27" s="14" t="s">
        <v>178</v>
      </c>
      <c r="C27" s="111" t="s">
        <v>179</v>
      </c>
      <c r="D27" s="22">
        <v>9</v>
      </c>
      <c r="E27" s="22">
        <f>+D27*48</f>
        <v>432</v>
      </c>
      <c r="G27" s="24" t="s">
        <v>36</v>
      </c>
      <c r="H27" s="22">
        <f>J15*'Cuadro 1'!C42*H21*2400</f>
        <v>162987955.2</v>
      </c>
      <c r="I27" s="22">
        <f>16978*20*20%*2400*12</f>
        <v>1955865600</v>
      </c>
    </row>
    <row r="28" spans="2:9" ht="25.5">
      <c r="B28" s="14" t="s">
        <v>180</v>
      </c>
      <c r="C28" s="111" t="s">
        <v>181</v>
      </c>
      <c r="D28" s="22">
        <v>9</v>
      </c>
      <c r="E28" s="22">
        <v>9</v>
      </c>
      <c r="G28" s="24" t="s">
        <v>37</v>
      </c>
      <c r="H28" s="22">
        <f>E29*'Cuadro 1'!C42*H22*2400</f>
        <v>82199001.60000001</v>
      </c>
      <c r="I28" s="22">
        <f>17125*20*10%*2400*12</f>
        <v>986400000</v>
      </c>
    </row>
    <row r="29" spans="2:9" ht="12.75">
      <c r="B29" s="244" t="s">
        <v>182</v>
      </c>
      <c r="C29" s="244"/>
      <c r="D29" s="244"/>
      <c r="E29" s="26">
        <f>SUM(E19:E28)</f>
        <v>17124.792</v>
      </c>
      <c r="G29" s="25" t="s">
        <v>38</v>
      </c>
      <c r="H29" s="26">
        <f>SUM(H26:H28)</f>
        <v>801442483.1999999</v>
      </c>
      <c r="I29" s="26">
        <f>SUM(I26:I28)</f>
        <v>9617241599.999998</v>
      </c>
    </row>
    <row r="30" spans="3:4" ht="12.75">
      <c r="C30" s="12"/>
      <c r="D30" s="12"/>
    </row>
    <row r="31" ht="12.75">
      <c r="B31" s="44" t="s">
        <v>165</v>
      </c>
    </row>
    <row r="32" ht="12.75">
      <c r="B32" s="44"/>
    </row>
    <row r="33" ht="12.75">
      <c r="B33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</sheetData>
  <mergeCells count="10">
    <mergeCell ref="B29:D29"/>
    <mergeCell ref="G18:I18"/>
    <mergeCell ref="H19:I19"/>
    <mergeCell ref="H20:I20"/>
    <mergeCell ref="H21:I21"/>
    <mergeCell ref="H22:I22"/>
    <mergeCell ref="B2:J2"/>
    <mergeCell ref="G24:I24"/>
    <mergeCell ref="B14:D14"/>
    <mergeCell ref="G15:I15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Ericsson User</dc:creator>
  <cp:keywords/>
  <dc:description/>
  <cp:lastModifiedBy>USUARIO</cp:lastModifiedBy>
  <cp:lastPrinted>2005-05-11T20:52:54Z</cp:lastPrinted>
  <dcterms:created xsi:type="dcterms:W3CDTF">2001-03-05T13:59:40Z</dcterms:created>
  <dcterms:modified xsi:type="dcterms:W3CDTF">2007-02-06T20:01:11Z</dcterms:modified>
  <cp:category/>
  <cp:version/>
  <cp:contentType/>
  <cp:contentStatus/>
</cp:coreProperties>
</file>